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表" sheetId="1" r:id="rId1"/>
  </sheets>
  <definedNames/>
  <calcPr fullCalcOnLoad="1"/>
</workbook>
</file>

<file path=xl/sharedStrings.xml><?xml version="1.0" encoding="utf-8"?>
<sst xmlns="http://schemas.openxmlformats.org/spreadsheetml/2006/main" count="1312" uniqueCount="57">
  <si>
    <t>附件1：</t>
  </si>
  <si>
    <t>三亚市吉阳区教育系统赴高校面向2024年应届毕业生公开招聘编制教师现场资格审查合格并进入笔试人员名单</t>
  </si>
  <si>
    <t>序号</t>
  </si>
  <si>
    <t>报考号</t>
  </si>
  <si>
    <t>招聘单位</t>
  </si>
  <si>
    <t>岗位名称</t>
  </si>
  <si>
    <t>岗位代码</t>
  </si>
  <si>
    <t>姓名</t>
  </si>
  <si>
    <t>性别</t>
  </si>
  <si>
    <t>备注</t>
  </si>
  <si>
    <t>三亚市第五中学</t>
  </si>
  <si>
    <t>初中语文教师</t>
  </si>
  <si>
    <t>初中数学教师</t>
  </si>
  <si>
    <t>初中英语教师</t>
  </si>
  <si>
    <t>初中物理教师</t>
  </si>
  <si>
    <t>初中历史教师</t>
  </si>
  <si>
    <t>初中地理教师</t>
  </si>
  <si>
    <t>身份证号码后四位数为“762X”</t>
  </si>
  <si>
    <t>初中体育教师</t>
  </si>
  <si>
    <t>初中道德与法治教师</t>
  </si>
  <si>
    <t>初中心理健康教师</t>
  </si>
  <si>
    <t>三亚市荔枝沟初级中学</t>
  </si>
  <si>
    <t>初中音乐教师</t>
  </si>
  <si>
    <t>海南师范大学附属三亚学校（逸夫中学）</t>
  </si>
  <si>
    <t>身份证号码后四位数为“0624”</t>
  </si>
  <si>
    <t>初中化学教师</t>
  </si>
  <si>
    <t>初中生物教师</t>
  </si>
  <si>
    <t>三亚市南海学校（初中部）</t>
  </si>
  <si>
    <t>身份证号码后四位数为“2716”</t>
  </si>
  <si>
    <t>初中美术教师</t>
  </si>
  <si>
    <t>三亚市南海学校（小学部）</t>
  </si>
  <si>
    <t>小学英语教师</t>
  </si>
  <si>
    <t>小学体育教师</t>
  </si>
  <si>
    <t>小学科学教师</t>
  </si>
  <si>
    <t>三亚市第二小学</t>
  </si>
  <si>
    <t>小学数学教师</t>
  </si>
  <si>
    <t>小学音乐教师</t>
  </si>
  <si>
    <t>小学美术教师</t>
  </si>
  <si>
    <t>三亚市第五小学</t>
  </si>
  <si>
    <t>小学语文教师</t>
  </si>
  <si>
    <t>小学道德与法治教师</t>
  </si>
  <si>
    <t>三亚市吉阳区月川小学</t>
  </si>
  <si>
    <t>身份证号码后四位数为“4520”</t>
  </si>
  <si>
    <t>三亚市吉阳区丹州小学</t>
  </si>
  <si>
    <t>三亚市第十小学</t>
  </si>
  <si>
    <t>三亚市吉阳区吉阳小学</t>
  </si>
  <si>
    <t>小学信息技术教师</t>
  </si>
  <si>
    <t>三亚市吉阳区南新小学</t>
  </si>
  <si>
    <t>小学心理健康教师</t>
  </si>
  <si>
    <t>三亚市吉阳区荔枝沟小学</t>
  </si>
  <si>
    <t>三亚市吉阳区红沙小学</t>
  </si>
  <si>
    <t>三亚市吉阳区鹿回头小学</t>
  </si>
  <si>
    <t>三亚市吉阳区落笔小学</t>
  </si>
  <si>
    <t>三亚市吉阳区榆红明德小学</t>
  </si>
  <si>
    <t>三亚市吉阳区海罗小学</t>
  </si>
  <si>
    <t>三亚市吉阳区红郊小学</t>
  </si>
  <si>
    <t>三亚市吉阳区南丁小学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</si>
</sst>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sz val="14"/>
      <name val="黑体"/>
      <family val="3"/>
    </font>
    <font>
      <sz val="22"/>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0">
    <xf numFmtId="0" fontId="0" fillId="0" borderId="0" xfId="0" applyFont="1" applyAlignment="1">
      <alignment vertical="center"/>
    </xf>
    <xf numFmtId="0" fontId="3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2"/>
  <sheetViews>
    <sheetView tabSelected="1" workbookViewId="0" topLeftCell="A1">
      <pane ySplit="3" topLeftCell="A4" activePane="bottomLeft" state="frozen"/>
      <selection pane="bottomLeft" activeCell="K7" sqref="K7"/>
    </sheetView>
  </sheetViews>
  <sheetFormatPr defaultColWidth="9.00390625" defaultRowHeight="34.5" customHeight="1"/>
  <cols>
    <col min="1" max="1" width="9.00390625" style="2" customWidth="1"/>
    <col min="2" max="2" width="27.140625" style="3" customWidth="1"/>
    <col min="3" max="3" width="41.140625" style="3" customWidth="1"/>
    <col min="4" max="4" width="19.140625" style="3" customWidth="1"/>
    <col min="5" max="5" width="12.8515625" style="3" customWidth="1"/>
    <col min="6" max="6" width="8.8515625" style="3" customWidth="1"/>
    <col min="7" max="7" width="10.28125" style="3" customWidth="1"/>
    <col min="8" max="8" width="22.140625" style="2" customWidth="1"/>
    <col min="9" max="16384" width="9.00390625" style="2" customWidth="1"/>
  </cols>
  <sheetData>
    <row r="1" spans="1:8" ht="17.25">
      <c r="A1" s="4" t="s">
        <v>0</v>
      </c>
      <c r="B1" s="4"/>
      <c r="C1" s="4"/>
      <c r="D1" s="4"/>
      <c r="E1" s="4"/>
      <c r="F1" s="4"/>
      <c r="G1" s="4"/>
      <c r="H1" s="4"/>
    </row>
    <row r="2" spans="1:8" ht="61.5" customHeight="1">
      <c r="A2" s="5" t="s">
        <v>1</v>
      </c>
      <c r="B2" s="5"/>
      <c r="C2" s="5"/>
      <c r="D2" s="5"/>
      <c r="E2" s="5"/>
      <c r="F2" s="5"/>
      <c r="G2" s="5"/>
      <c r="H2" s="5"/>
    </row>
    <row r="3" spans="1:8" s="1" customFormat="1" ht="34.5" customHeight="1">
      <c r="A3" s="6" t="s">
        <v>2</v>
      </c>
      <c r="B3" s="7" t="s">
        <v>3</v>
      </c>
      <c r="C3" s="7" t="s">
        <v>4</v>
      </c>
      <c r="D3" s="7" t="s">
        <v>5</v>
      </c>
      <c r="E3" s="7" t="s">
        <v>6</v>
      </c>
      <c r="F3" s="7" t="s">
        <v>7</v>
      </c>
      <c r="G3" s="7" t="s">
        <v>8</v>
      </c>
      <c r="H3" s="6" t="s">
        <v>9</v>
      </c>
    </row>
    <row r="4" spans="1:8" ht="34.5" customHeight="1">
      <c r="A4" s="8">
        <v>1</v>
      </c>
      <c r="B4" s="9" t="str">
        <f>"65172024052409491574215"</f>
        <v>65172024052409491574215</v>
      </c>
      <c r="C4" s="9" t="s">
        <v>10</v>
      </c>
      <c r="D4" s="9" t="s">
        <v>11</v>
      </c>
      <c r="E4" s="9" t="str">
        <f aca="true" t="shared" si="0" ref="E4:E36">"240101"</f>
        <v>240101</v>
      </c>
      <c r="F4" s="9" t="str">
        <f>"黄莹莹"</f>
        <v>黄莹莹</v>
      </c>
      <c r="G4" s="9" t="str">
        <f aca="true" t="shared" si="1" ref="G4:G27">"女"</f>
        <v>女</v>
      </c>
      <c r="H4" s="8"/>
    </row>
    <row r="5" spans="1:8" ht="34.5" customHeight="1">
      <c r="A5" s="8">
        <v>2</v>
      </c>
      <c r="B5" s="9" t="str">
        <f>"65172024052419322475921"</f>
        <v>65172024052419322475921</v>
      </c>
      <c r="C5" s="9" t="s">
        <v>10</v>
      </c>
      <c r="D5" s="9" t="s">
        <v>11</v>
      </c>
      <c r="E5" s="9" t="str">
        <f t="shared" si="0"/>
        <v>240101</v>
      </c>
      <c r="F5" s="9" t="str">
        <f>"付饶"</f>
        <v>付饶</v>
      </c>
      <c r="G5" s="9" t="str">
        <f t="shared" si="1"/>
        <v>女</v>
      </c>
      <c r="H5" s="8"/>
    </row>
    <row r="6" spans="1:8" ht="34.5" customHeight="1">
      <c r="A6" s="8">
        <v>3</v>
      </c>
      <c r="B6" s="9" t="str">
        <f>"65172024052418345075860"</f>
        <v>65172024052418345075860</v>
      </c>
      <c r="C6" s="9" t="s">
        <v>10</v>
      </c>
      <c r="D6" s="9" t="s">
        <v>11</v>
      </c>
      <c r="E6" s="9" t="str">
        <f t="shared" si="0"/>
        <v>240101</v>
      </c>
      <c r="F6" s="9" t="str">
        <f>"苏云"</f>
        <v>苏云</v>
      </c>
      <c r="G6" s="9" t="str">
        <f t="shared" si="1"/>
        <v>女</v>
      </c>
      <c r="H6" s="8"/>
    </row>
    <row r="7" spans="1:8" ht="34.5" customHeight="1">
      <c r="A7" s="8">
        <v>4</v>
      </c>
      <c r="B7" s="9" t="str">
        <f>"65172024052423324576155"</f>
        <v>65172024052423324576155</v>
      </c>
      <c r="C7" s="9" t="s">
        <v>10</v>
      </c>
      <c r="D7" s="9" t="s">
        <v>11</v>
      </c>
      <c r="E7" s="9" t="str">
        <f t="shared" si="0"/>
        <v>240101</v>
      </c>
      <c r="F7" s="9" t="str">
        <f>"钟洁滢"</f>
        <v>钟洁滢</v>
      </c>
      <c r="G7" s="9" t="str">
        <f t="shared" si="1"/>
        <v>女</v>
      </c>
      <c r="H7" s="8"/>
    </row>
    <row r="8" spans="1:8" ht="34.5" customHeight="1">
      <c r="A8" s="8">
        <v>5</v>
      </c>
      <c r="B8" s="9" t="str">
        <f>"65172024052518151276908"</f>
        <v>65172024052518151276908</v>
      </c>
      <c r="C8" s="9" t="s">
        <v>10</v>
      </c>
      <c r="D8" s="9" t="s">
        <v>11</v>
      </c>
      <c r="E8" s="9" t="str">
        <f t="shared" si="0"/>
        <v>240101</v>
      </c>
      <c r="F8" s="9" t="str">
        <f>"吴少花"</f>
        <v>吴少花</v>
      </c>
      <c r="G8" s="9" t="str">
        <f t="shared" si="1"/>
        <v>女</v>
      </c>
      <c r="H8" s="8"/>
    </row>
    <row r="9" spans="1:8" ht="34.5" customHeight="1">
      <c r="A9" s="8">
        <v>6</v>
      </c>
      <c r="B9" s="9" t="str">
        <f>"65172024052619502378227"</f>
        <v>65172024052619502378227</v>
      </c>
      <c r="C9" s="9" t="s">
        <v>10</v>
      </c>
      <c r="D9" s="9" t="s">
        <v>11</v>
      </c>
      <c r="E9" s="9" t="str">
        <f t="shared" si="0"/>
        <v>240101</v>
      </c>
      <c r="F9" s="9" t="str">
        <f>"李竹波"</f>
        <v>李竹波</v>
      </c>
      <c r="G9" s="9" t="str">
        <f t="shared" si="1"/>
        <v>女</v>
      </c>
      <c r="H9" s="8"/>
    </row>
    <row r="10" spans="1:8" ht="34.5" customHeight="1">
      <c r="A10" s="8">
        <v>7</v>
      </c>
      <c r="B10" s="9" t="str">
        <f>"65172024052613413877729"</f>
        <v>65172024052613413877729</v>
      </c>
      <c r="C10" s="9" t="s">
        <v>10</v>
      </c>
      <c r="D10" s="9" t="s">
        <v>11</v>
      </c>
      <c r="E10" s="9" t="str">
        <f t="shared" si="0"/>
        <v>240101</v>
      </c>
      <c r="F10" s="9" t="str">
        <f>"李佩茜"</f>
        <v>李佩茜</v>
      </c>
      <c r="G10" s="9" t="str">
        <f t="shared" si="1"/>
        <v>女</v>
      </c>
      <c r="H10" s="8"/>
    </row>
    <row r="11" spans="1:8" ht="34.5" customHeight="1">
      <c r="A11" s="8">
        <v>8</v>
      </c>
      <c r="B11" s="9" t="str">
        <f>"65172024052516571576820"</f>
        <v>65172024052516571576820</v>
      </c>
      <c r="C11" s="9" t="s">
        <v>10</v>
      </c>
      <c r="D11" s="9" t="s">
        <v>11</v>
      </c>
      <c r="E11" s="9" t="str">
        <f t="shared" si="0"/>
        <v>240101</v>
      </c>
      <c r="F11" s="9" t="str">
        <f>"唐琼媚"</f>
        <v>唐琼媚</v>
      </c>
      <c r="G11" s="9" t="str">
        <f t="shared" si="1"/>
        <v>女</v>
      </c>
      <c r="H11" s="8"/>
    </row>
    <row r="12" spans="1:8" ht="34.5" customHeight="1">
      <c r="A12" s="8">
        <v>9</v>
      </c>
      <c r="B12" s="9" t="str">
        <f>"65172024052818494485444"</f>
        <v>65172024052818494485444</v>
      </c>
      <c r="C12" s="9" t="s">
        <v>10</v>
      </c>
      <c r="D12" s="9" t="s">
        <v>11</v>
      </c>
      <c r="E12" s="9" t="str">
        <f t="shared" si="0"/>
        <v>240101</v>
      </c>
      <c r="F12" s="9" t="str">
        <f>"陈秀芬"</f>
        <v>陈秀芬</v>
      </c>
      <c r="G12" s="9" t="str">
        <f t="shared" si="1"/>
        <v>女</v>
      </c>
      <c r="H12" s="8"/>
    </row>
    <row r="13" spans="1:8" ht="34.5" customHeight="1">
      <c r="A13" s="8">
        <v>10</v>
      </c>
      <c r="B13" s="9" t="str">
        <f>"65172024052415244975318"</f>
        <v>65172024052415244975318</v>
      </c>
      <c r="C13" s="9" t="s">
        <v>10</v>
      </c>
      <c r="D13" s="9" t="s">
        <v>11</v>
      </c>
      <c r="E13" s="9" t="str">
        <f t="shared" si="0"/>
        <v>240101</v>
      </c>
      <c r="F13" s="9" t="str">
        <f>"许欣"</f>
        <v>许欣</v>
      </c>
      <c r="G13" s="9" t="str">
        <f t="shared" si="1"/>
        <v>女</v>
      </c>
      <c r="H13" s="8"/>
    </row>
    <row r="14" spans="1:8" ht="34.5" customHeight="1">
      <c r="A14" s="8">
        <v>11</v>
      </c>
      <c r="B14" s="9" t="str">
        <f>"65172024052918504989477"</f>
        <v>65172024052918504989477</v>
      </c>
      <c r="C14" s="9" t="s">
        <v>10</v>
      </c>
      <c r="D14" s="9" t="s">
        <v>11</v>
      </c>
      <c r="E14" s="9" t="str">
        <f t="shared" si="0"/>
        <v>240101</v>
      </c>
      <c r="F14" s="9" t="str">
        <f>"符亚媚"</f>
        <v>符亚媚</v>
      </c>
      <c r="G14" s="9" t="str">
        <f t="shared" si="1"/>
        <v>女</v>
      </c>
      <c r="H14" s="8"/>
    </row>
    <row r="15" spans="1:8" ht="34.5" customHeight="1">
      <c r="A15" s="8">
        <v>12</v>
      </c>
      <c r="B15" s="9" t="str">
        <f>"65172024052410351474407"</f>
        <v>65172024052410351474407</v>
      </c>
      <c r="C15" s="9" t="s">
        <v>10</v>
      </c>
      <c r="D15" s="9" t="s">
        <v>11</v>
      </c>
      <c r="E15" s="9" t="str">
        <f t="shared" si="0"/>
        <v>240101</v>
      </c>
      <c r="F15" s="9" t="str">
        <f>"陈庭薇"</f>
        <v>陈庭薇</v>
      </c>
      <c r="G15" s="9" t="str">
        <f t="shared" si="1"/>
        <v>女</v>
      </c>
      <c r="H15" s="8"/>
    </row>
    <row r="16" spans="1:8" ht="34.5" customHeight="1">
      <c r="A16" s="8">
        <v>13</v>
      </c>
      <c r="B16" s="9" t="str">
        <f>"65172024053012103894662"</f>
        <v>65172024053012103894662</v>
      </c>
      <c r="C16" s="9" t="s">
        <v>10</v>
      </c>
      <c r="D16" s="9" t="s">
        <v>11</v>
      </c>
      <c r="E16" s="9" t="str">
        <f t="shared" si="0"/>
        <v>240101</v>
      </c>
      <c r="F16" s="9" t="str">
        <f>"陈菊"</f>
        <v>陈菊</v>
      </c>
      <c r="G16" s="9" t="str">
        <f t="shared" si="1"/>
        <v>女</v>
      </c>
      <c r="H16" s="8"/>
    </row>
    <row r="17" spans="1:8" ht="34.5" customHeight="1">
      <c r="A17" s="8">
        <v>14</v>
      </c>
      <c r="B17" s="9" t="str">
        <f>"65172024053008570392144"</f>
        <v>65172024053008570392144</v>
      </c>
      <c r="C17" s="9" t="s">
        <v>10</v>
      </c>
      <c r="D17" s="9" t="s">
        <v>11</v>
      </c>
      <c r="E17" s="9" t="str">
        <f t="shared" si="0"/>
        <v>240101</v>
      </c>
      <c r="F17" s="9" t="str">
        <f>"邢佳佳"</f>
        <v>邢佳佳</v>
      </c>
      <c r="G17" s="9" t="str">
        <f t="shared" si="1"/>
        <v>女</v>
      </c>
      <c r="H17" s="8"/>
    </row>
    <row r="18" spans="1:8" ht="34.5" customHeight="1">
      <c r="A18" s="8">
        <v>15</v>
      </c>
      <c r="B18" s="9" t="str">
        <f>"651720240531103451101278"</f>
        <v>651720240531103451101278</v>
      </c>
      <c r="C18" s="9" t="s">
        <v>10</v>
      </c>
      <c r="D18" s="9" t="s">
        <v>11</v>
      </c>
      <c r="E18" s="9" t="str">
        <f t="shared" si="0"/>
        <v>240101</v>
      </c>
      <c r="F18" s="9" t="str">
        <f>"于然"</f>
        <v>于然</v>
      </c>
      <c r="G18" s="9" t="str">
        <f t="shared" si="1"/>
        <v>女</v>
      </c>
      <c r="H18" s="8"/>
    </row>
    <row r="19" spans="1:8" ht="34.5" customHeight="1">
      <c r="A19" s="8">
        <v>16</v>
      </c>
      <c r="B19" s="9" t="str">
        <f>"651720240531162654107049"</f>
        <v>651720240531162654107049</v>
      </c>
      <c r="C19" s="9" t="s">
        <v>10</v>
      </c>
      <c r="D19" s="9" t="s">
        <v>11</v>
      </c>
      <c r="E19" s="9" t="str">
        <f t="shared" si="0"/>
        <v>240101</v>
      </c>
      <c r="F19" s="9" t="str">
        <f>"王丽霞"</f>
        <v>王丽霞</v>
      </c>
      <c r="G19" s="9" t="str">
        <f t="shared" si="1"/>
        <v>女</v>
      </c>
      <c r="H19" s="8"/>
    </row>
    <row r="20" spans="1:8" ht="34.5" customHeight="1">
      <c r="A20" s="8">
        <v>17</v>
      </c>
      <c r="B20" s="9" t="str">
        <f>"651720240531113255101828"</f>
        <v>651720240531113255101828</v>
      </c>
      <c r="C20" s="9" t="s">
        <v>10</v>
      </c>
      <c r="D20" s="9" t="s">
        <v>11</v>
      </c>
      <c r="E20" s="9" t="str">
        <f t="shared" si="0"/>
        <v>240101</v>
      </c>
      <c r="F20" s="9" t="str">
        <f>"孙迪"</f>
        <v>孙迪</v>
      </c>
      <c r="G20" s="9" t="str">
        <f t="shared" si="1"/>
        <v>女</v>
      </c>
      <c r="H20" s="8"/>
    </row>
    <row r="21" spans="1:8" ht="34.5" customHeight="1">
      <c r="A21" s="8">
        <v>18</v>
      </c>
      <c r="B21" s="9" t="str">
        <f>"651720240531231114109001"</f>
        <v>651720240531231114109001</v>
      </c>
      <c r="C21" s="9" t="s">
        <v>10</v>
      </c>
      <c r="D21" s="9" t="s">
        <v>11</v>
      </c>
      <c r="E21" s="9" t="str">
        <f t="shared" si="0"/>
        <v>240101</v>
      </c>
      <c r="F21" s="9" t="str">
        <f>"刘晨梦"</f>
        <v>刘晨梦</v>
      </c>
      <c r="G21" s="9" t="str">
        <f t="shared" si="1"/>
        <v>女</v>
      </c>
      <c r="H21" s="8"/>
    </row>
    <row r="22" spans="1:8" ht="34.5" customHeight="1">
      <c r="A22" s="8">
        <v>19</v>
      </c>
      <c r="B22" s="9" t="str">
        <f>"65172024053018415797952"</f>
        <v>65172024053018415797952</v>
      </c>
      <c r="C22" s="9" t="s">
        <v>10</v>
      </c>
      <c r="D22" s="9" t="s">
        <v>11</v>
      </c>
      <c r="E22" s="9" t="str">
        <f t="shared" si="0"/>
        <v>240101</v>
      </c>
      <c r="F22" s="9" t="str">
        <f>"周昱杉"</f>
        <v>周昱杉</v>
      </c>
      <c r="G22" s="9" t="str">
        <f t="shared" si="1"/>
        <v>女</v>
      </c>
      <c r="H22" s="8"/>
    </row>
    <row r="23" spans="1:8" ht="34.5" customHeight="1">
      <c r="A23" s="8">
        <v>20</v>
      </c>
      <c r="B23" s="9" t="str">
        <f>"651720240601192131111802"</f>
        <v>651720240601192131111802</v>
      </c>
      <c r="C23" s="9" t="s">
        <v>10</v>
      </c>
      <c r="D23" s="9" t="s">
        <v>11</v>
      </c>
      <c r="E23" s="9" t="str">
        <f t="shared" si="0"/>
        <v>240101</v>
      </c>
      <c r="F23" s="9" t="str">
        <f>"刘美含"</f>
        <v>刘美含</v>
      </c>
      <c r="G23" s="9" t="str">
        <f t="shared" si="1"/>
        <v>女</v>
      </c>
      <c r="H23" s="8"/>
    </row>
    <row r="24" spans="1:8" ht="34.5" customHeight="1">
      <c r="A24" s="8">
        <v>21</v>
      </c>
      <c r="B24" s="9" t="str">
        <f>"65172024053020464198757"</f>
        <v>65172024053020464198757</v>
      </c>
      <c r="C24" s="9" t="s">
        <v>10</v>
      </c>
      <c r="D24" s="9" t="s">
        <v>11</v>
      </c>
      <c r="E24" s="9" t="str">
        <f t="shared" si="0"/>
        <v>240101</v>
      </c>
      <c r="F24" s="9" t="str">
        <f>"符伟珍"</f>
        <v>符伟珍</v>
      </c>
      <c r="G24" s="9" t="str">
        <f t="shared" si="1"/>
        <v>女</v>
      </c>
      <c r="H24" s="8"/>
    </row>
    <row r="25" spans="1:8" ht="34.5" customHeight="1">
      <c r="A25" s="8">
        <v>22</v>
      </c>
      <c r="B25" s="9" t="str">
        <f>"651720240602131813114117"</f>
        <v>651720240602131813114117</v>
      </c>
      <c r="C25" s="9" t="s">
        <v>10</v>
      </c>
      <c r="D25" s="9" t="s">
        <v>11</v>
      </c>
      <c r="E25" s="9" t="str">
        <f t="shared" si="0"/>
        <v>240101</v>
      </c>
      <c r="F25" s="9" t="str">
        <f>"纪新娴"</f>
        <v>纪新娴</v>
      </c>
      <c r="G25" s="9" t="str">
        <f t="shared" si="1"/>
        <v>女</v>
      </c>
      <c r="H25" s="8"/>
    </row>
    <row r="26" spans="1:8" ht="34.5" customHeight="1">
      <c r="A26" s="8">
        <v>23</v>
      </c>
      <c r="B26" s="9" t="str">
        <f>"651720240603111318120156"</f>
        <v>651720240603111318120156</v>
      </c>
      <c r="C26" s="9" t="s">
        <v>10</v>
      </c>
      <c r="D26" s="9" t="s">
        <v>11</v>
      </c>
      <c r="E26" s="9" t="str">
        <f t="shared" si="0"/>
        <v>240101</v>
      </c>
      <c r="F26" s="9" t="str">
        <f>"蔡赤媚"</f>
        <v>蔡赤媚</v>
      </c>
      <c r="G26" s="9" t="str">
        <f t="shared" si="1"/>
        <v>女</v>
      </c>
      <c r="H26" s="8"/>
    </row>
    <row r="27" spans="1:8" ht="34.5" customHeight="1">
      <c r="A27" s="8">
        <v>24</v>
      </c>
      <c r="B27" s="9" t="str">
        <f>"65172024052716021581399"</f>
        <v>65172024052716021581399</v>
      </c>
      <c r="C27" s="9" t="s">
        <v>10</v>
      </c>
      <c r="D27" s="9" t="s">
        <v>11</v>
      </c>
      <c r="E27" s="9" t="str">
        <f t="shared" si="0"/>
        <v>240101</v>
      </c>
      <c r="F27" s="9" t="str">
        <f>"刘欣华"</f>
        <v>刘欣华</v>
      </c>
      <c r="G27" s="9" t="str">
        <f t="shared" si="1"/>
        <v>女</v>
      </c>
      <c r="H27" s="8"/>
    </row>
    <row r="28" spans="1:8" ht="34.5" customHeight="1">
      <c r="A28" s="8">
        <v>25</v>
      </c>
      <c r="B28" s="9" t="str">
        <f>"65172024052810444483232"</f>
        <v>65172024052810444483232</v>
      </c>
      <c r="C28" s="9" t="s">
        <v>10</v>
      </c>
      <c r="D28" s="9" t="s">
        <v>11</v>
      </c>
      <c r="E28" s="9" t="str">
        <f t="shared" si="0"/>
        <v>240101</v>
      </c>
      <c r="F28" s="9" t="str">
        <f>"郭学达"</f>
        <v>郭学达</v>
      </c>
      <c r="G28" s="9" t="str">
        <f>"男"</f>
        <v>男</v>
      </c>
      <c r="H28" s="8"/>
    </row>
    <row r="29" spans="1:8" ht="34.5" customHeight="1">
      <c r="A29" s="8">
        <v>26</v>
      </c>
      <c r="B29" s="9" t="str">
        <f>"651720240604001721125900"</f>
        <v>651720240604001721125900</v>
      </c>
      <c r="C29" s="9" t="s">
        <v>10</v>
      </c>
      <c r="D29" s="9" t="s">
        <v>11</v>
      </c>
      <c r="E29" s="9" t="str">
        <f t="shared" si="0"/>
        <v>240101</v>
      </c>
      <c r="F29" s="9" t="str">
        <f>"黄玉微"</f>
        <v>黄玉微</v>
      </c>
      <c r="G29" s="9" t="str">
        <f>"女"</f>
        <v>女</v>
      </c>
      <c r="H29" s="8"/>
    </row>
    <row r="30" spans="1:8" ht="34.5" customHeight="1">
      <c r="A30" s="8">
        <v>27</v>
      </c>
      <c r="B30" s="9" t="str">
        <f>"651720240604152653129486"</f>
        <v>651720240604152653129486</v>
      </c>
      <c r="C30" s="9" t="s">
        <v>10</v>
      </c>
      <c r="D30" s="9" t="s">
        <v>11</v>
      </c>
      <c r="E30" s="9" t="str">
        <f t="shared" si="0"/>
        <v>240101</v>
      </c>
      <c r="F30" s="9" t="str">
        <f>"廖晓寒"</f>
        <v>廖晓寒</v>
      </c>
      <c r="G30" s="9" t="str">
        <f>"女"</f>
        <v>女</v>
      </c>
      <c r="H30" s="8"/>
    </row>
    <row r="31" spans="1:8" ht="34.5" customHeight="1">
      <c r="A31" s="8">
        <v>28</v>
      </c>
      <c r="B31" s="9" t="str">
        <f>"65172024052712533780570"</f>
        <v>65172024052712533780570</v>
      </c>
      <c r="C31" s="9" t="s">
        <v>10</v>
      </c>
      <c r="D31" s="9" t="s">
        <v>11</v>
      </c>
      <c r="E31" s="9" t="str">
        <f t="shared" si="0"/>
        <v>240101</v>
      </c>
      <c r="F31" s="9" t="str">
        <f>"姜育恒"</f>
        <v>姜育恒</v>
      </c>
      <c r="G31" s="9" t="str">
        <f>"男"</f>
        <v>男</v>
      </c>
      <c r="H31" s="8"/>
    </row>
    <row r="32" spans="1:8" ht="34.5" customHeight="1">
      <c r="A32" s="8">
        <v>29</v>
      </c>
      <c r="B32" s="9" t="str">
        <f>"651720240604200247131314"</f>
        <v>651720240604200247131314</v>
      </c>
      <c r="C32" s="9" t="s">
        <v>10</v>
      </c>
      <c r="D32" s="9" t="s">
        <v>11</v>
      </c>
      <c r="E32" s="9" t="str">
        <f t="shared" si="0"/>
        <v>240101</v>
      </c>
      <c r="F32" s="9" t="str">
        <f>"谢琴芳"</f>
        <v>谢琴芳</v>
      </c>
      <c r="G32" s="9" t="str">
        <f aca="true" t="shared" si="2" ref="G32:G55">"女"</f>
        <v>女</v>
      </c>
      <c r="H32" s="8"/>
    </row>
    <row r="33" spans="1:8" ht="34.5" customHeight="1">
      <c r="A33" s="8">
        <v>30</v>
      </c>
      <c r="B33" s="9" t="str">
        <f>"651720240604234255132492"</f>
        <v>651720240604234255132492</v>
      </c>
      <c r="C33" s="9" t="s">
        <v>10</v>
      </c>
      <c r="D33" s="9" t="s">
        <v>11</v>
      </c>
      <c r="E33" s="9" t="str">
        <f t="shared" si="0"/>
        <v>240101</v>
      </c>
      <c r="F33" s="9" t="str">
        <f>"李小芳"</f>
        <v>李小芳</v>
      </c>
      <c r="G33" s="9" t="str">
        <f t="shared" si="2"/>
        <v>女</v>
      </c>
      <c r="H33" s="8"/>
    </row>
    <row r="34" spans="1:8" ht="34.5" customHeight="1">
      <c r="A34" s="8">
        <v>31</v>
      </c>
      <c r="B34" s="9" t="str">
        <f>"651720240604233921132477"</f>
        <v>651720240604233921132477</v>
      </c>
      <c r="C34" s="9" t="s">
        <v>10</v>
      </c>
      <c r="D34" s="9" t="s">
        <v>11</v>
      </c>
      <c r="E34" s="9" t="str">
        <f t="shared" si="0"/>
        <v>240101</v>
      </c>
      <c r="F34" s="9" t="str">
        <f>"羊和婷"</f>
        <v>羊和婷</v>
      </c>
      <c r="G34" s="9" t="str">
        <f t="shared" si="2"/>
        <v>女</v>
      </c>
      <c r="H34" s="8"/>
    </row>
    <row r="35" spans="1:8" ht="34.5" customHeight="1">
      <c r="A35" s="8">
        <v>32</v>
      </c>
      <c r="B35" s="9" t="str">
        <f>"651720240604225047132295"</f>
        <v>651720240604225047132295</v>
      </c>
      <c r="C35" s="9" t="s">
        <v>10</v>
      </c>
      <c r="D35" s="9" t="s">
        <v>11</v>
      </c>
      <c r="E35" s="9" t="str">
        <f t="shared" si="0"/>
        <v>240101</v>
      </c>
      <c r="F35" s="9" t="str">
        <f>"谢毕猷"</f>
        <v>谢毕猷</v>
      </c>
      <c r="G35" s="9" t="str">
        <f t="shared" si="2"/>
        <v>女</v>
      </c>
      <c r="H35" s="8"/>
    </row>
    <row r="36" spans="1:8" ht="34.5" customHeight="1">
      <c r="A36" s="8">
        <v>33</v>
      </c>
      <c r="B36" s="9" t="str">
        <f>"651720240606090527141770"</f>
        <v>651720240606090527141770</v>
      </c>
      <c r="C36" s="9" t="s">
        <v>10</v>
      </c>
      <c r="D36" s="9" t="s">
        <v>11</v>
      </c>
      <c r="E36" s="9" t="str">
        <f t="shared" si="0"/>
        <v>240101</v>
      </c>
      <c r="F36" s="9" t="str">
        <f>"曾惠"</f>
        <v>曾惠</v>
      </c>
      <c r="G36" s="9" t="str">
        <f t="shared" si="2"/>
        <v>女</v>
      </c>
      <c r="H36" s="8"/>
    </row>
    <row r="37" spans="1:8" ht="34.5" customHeight="1">
      <c r="A37" s="8">
        <v>34</v>
      </c>
      <c r="B37" s="9" t="str">
        <f>"65172024052615263177882"</f>
        <v>65172024052615263177882</v>
      </c>
      <c r="C37" s="9" t="s">
        <v>10</v>
      </c>
      <c r="D37" s="9" t="s">
        <v>12</v>
      </c>
      <c r="E37" s="9" t="str">
        <f aca="true" t="shared" si="3" ref="E37:E51">"240102"</f>
        <v>240102</v>
      </c>
      <c r="F37" s="9" t="str">
        <f>"方文钰"</f>
        <v>方文钰</v>
      </c>
      <c r="G37" s="9" t="str">
        <f t="shared" si="2"/>
        <v>女</v>
      </c>
      <c r="H37" s="8"/>
    </row>
    <row r="38" spans="1:8" ht="34.5" customHeight="1">
      <c r="A38" s="8">
        <v>35</v>
      </c>
      <c r="B38" s="9" t="str">
        <f>"65172024052709153578957"</f>
        <v>65172024052709153578957</v>
      </c>
      <c r="C38" s="9" t="s">
        <v>10</v>
      </c>
      <c r="D38" s="9" t="s">
        <v>12</v>
      </c>
      <c r="E38" s="9" t="str">
        <f t="shared" si="3"/>
        <v>240102</v>
      </c>
      <c r="F38" s="9" t="str">
        <f>"武照涵"</f>
        <v>武照涵</v>
      </c>
      <c r="G38" s="9" t="str">
        <f t="shared" si="2"/>
        <v>女</v>
      </c>
      <c r="H38" s="8"/>
    </row>
    <row r="39" spans="1:8" ht="34.5" customHeight="1">
      <c r="A39" s="8">
        <v>36</v>
      </c>
      <c r="B39" s="9" t="str">
        <f>"65172024052721054882353"</f>
        <v>65172024052721054882353</v>
      </c>
      <c r="C39" s="9" t="s">
        <v>10</v>
      </c>
      <c r="D39" s="9" t="s">
        <v>12</v>
      </c>
      <c r="E39" s="9" t="str">
        <f t="shared" si="3"/>
        <v>240102</v>
      </c>
      <c r="F39" s="9" t="str">
        <f>"侯辰霏"</f>
        <v>侯辰霏</v>
      </c>
      <c r="G39" s="9" t="str">
        <f t="shared" si="2"/>
        <v>女</v>
      </c>
      <c r="H39" s="8"/>
    </row>
    <row r="40" spans="1:8" ht="34.5" customHeight="1">
      <c r="A40" s="8">
        <v>37</v>
      </c>
      <c r="B40" s="9" t="str">
        <f>"65172024052411033774529"</f>
        <v>65172024052411033774529</v>
      </c>
      <c r="C40" s="9" t="s">
        <v>10</v>
      </c>
      <c r="D40" s="9" t="s">
        <v>12</v>
      </c>
      <c r="E40" s="9" t="str">
        <f t="shared" si="3"/>
        <v>240102</v>
      </c>
      <c r="F40" s="9" t="str">
        <f>"薛杏"</f>
        <v>薛杏</v>
      </c>
      <c r="G40" s="9" t="str">
        <f t="shared" si="2"/>
        <v>女</v>
      </c>
      <c r="H40" s="8"/>
    </row>
    <row r="41" spans="1:8" ht="34.5" customHeight="1">
      <c r="A41" s="8">
        <v>38</v>
      </c>
      <c r="B41" s="9" t="str">
        <f>"65172024052520315577052"</f>
        <v>65172024052520315577052</v>
      </c>
      <c r="C41" s="9" t="s">
        <v>10</v>
      </c>
      <c r="D41" s="9" t="s">
        <v>12</v>
      </c>
      <c r="E41" s="9" t="str">
        <f t="shared" si="3"/>
        <v>240102</v>
      </c>
      <c r="F41" s="9" t="str">
        <f>"余鑫华"</f>
        <v>余鑫华</v>
      </c>
      <c r="G41" s="9" t="str">
        <f t="shared" si="2"/>
        <v>女</v>
      </c>
      <c r="H41" s="8"/>
    </row>
    <row r="42" spans="1:8" ht="34.5" customHeight="1">
      <c r="A42" s="8">
        <v>39</v>
      </c>
      <c r="B42" s="9" t="str">
        <f>"65172024053014040195481"</f>
        <v>65172024053014040195481</v>
      </c>
      <c r="C42" s="9" t="s">
        <v>10</v>
      </c>
      <c r="D42" s="9" t="s">
        <v>12</v>
      </c>
      <c r="E42" s="9" t="str">
        <f t="shared" si="3"/>
        <v>240102</v>
      </c>
      <c r="F42" s="9" t="str">
        <f>"符佳佳"</f>
        <v>符佳佳</v>
      </c>
      <c r="G42" s="9" t="str">
        <f t="shared" si="2"/>
        <v>女</v>
      </c>
      <c r="H42" s="8"/>
    </row>
    <row r="43" spans="1:8" ht="34.5" customHeight="1">
      <c r="A43" s="8">
        <v>40</v>
      </c>
      <c r="B43" s="9" t="str">
        <f>"65172024052914580487960"</f>
        <v>65172024052914580487960</v>
      </c>
      <c r="C43" s="9" t="s">
        <v>10</v>
      </c>
      <c r="D43" s="9" t="s">
        <v>12</v>
      </c>
      <c r="E43" s="9" t="str">
        <f t="shared" si="3"/>
        <v>240102</v>
      </c>
      <c r="F43" s="9" t="str">
        <f>"钟琴"</f>
        <v>钟琴</v>
      </c>
      <c r="G43" s="9" t="str">
        <f t="shared" si="2"/>
        <v>女</v>
      </c>
      <c r="H43" s="8"/>
    </row>
    <row r="44" spans="1:8" ht="34.5" customHeight="1">
      <c r="A44" s="8">
        <v>41</v>
      </c>
      <c r="B44" s="9" t="str">
        <f>"65172024052816083184001"</f>
        <v>65172024052816083184001</v>
      </c>
      <c r="C44" s="9" t="s">
        <v>10</v>
      </c>
      <c r="D44" s="9" t="s">
        <v>12</v>
      </c>
      <c r="E44" s="9" t="str">
        <f t="shared" si="3"/>
        <v>240102</v>
      </c>
      <c r="F44" s="9" t="str">
        <f>"顾颖"</f>
        <v>顾颖</v>
      </c>
      <c r="G44" s="9" t="str">
        <f t="shared" si="2"/>
        <v>女</v>
      </c>
      <c r="H44" s="8"/>
    </row>
    <row r="45" spans="1:8" ht="34.5" customHeight="1">
      <c r="A45" s="8">
        <v>42</v>
      </c>
      <c r="B45" s="9" t="str">
        <f>"65172024052413371174979"</f>
        <v>65172024052413371174979</v>
      </c>
      <c r="C45" s="9" t="s">
        <v>10</v>
      </c>
      <c r="D45" s="9" t="s">
        <v>12</v>
      </c>
      <c r="E45" s="9" t="str">
        <f t="shared" si="3"/>
        <v>240102</v>
      </c>
      <c r="F45" s="9" t="str">
        <f>"陈慧欣"</f>
        <v>陈慧欣</v>
      </c>
      <c r="G45" s="9" t="str">
        <f t="shared" si="2"/>
        <v>女</v>
      </c>
      <c r="H45" s="8"/>
    </row>
    <row r="46" spans="1:8" ht="34.5" customHeight="1">
      <c r="A46" s="8">
        <v>43</v>
      </c>
      <c r="B46" s="9" t="str">
        <f>"65172024052721310182441"</f>
        <v>65172024052721310182441</v>
      </c>
      <c r="C46" s="9" t="s">
        <v>10</v>
      </c>
      <c r="D46" s="9" t="s">
        <v>12</v>
      </c>
      <c r="E46" s="9" t="str">
        <f t="shared" si="3"/>
        <v>240102</v>
      </c>
      <c r="F46" s="9" t="str">
        <f>"喻莹"</f>
        <v>喻莹</v>
      </c>
      <c r="G46" s="9" t="str">
        <f t="shared" si="2"/>
        <v>女</v>
      </c>
      <c r="H46" s="8"/>
    </row>
    <row r="47" spans="1:8" ht="34.5" customHeight="1">
      <c r="A47" s="8">
        <v>44</v>
      </c>
      <c r="B47" s="9" t="str">
        <f>"651720240601205158112116"</f>
        <v>651720240601205158112116</v>
      </c>
      <c r="C47" s="9" t="s">
        <v>10</v>
      </c>
      <c r="D47" s="9" t="s">
        <v>12</v>
      </c>
      <c r="E47" s="9" t="str">
        <f t="shared" si="3"/>
        <v>240102</v>
      </c>
      <c r="F47" s="9" t="str">
        <f>"刘雅芹"</f>
        <v>刘雅芹</v>
      </c>
      <c r="G47" s="9" t="str">
        <f t="shared" si="2"/>
        <v>女</v>
      </c>
      <c r="H47" s="8"/>
    </row>
    <row r="48" spans="1:8" ht="34.5" customHeight="1">
      <c r="A48" s="8">
        <v>45</v>
      </c>
      <c r="B48" s="9" t="str">
        <f>"651720240604200626131333"</f>
        <v>651720240604200626131333</v>
      </c>
      <c r="C48" s="9" t="s">
        <v>10</v>
      </c>
      <c r="D48" s="9" t="s">
        <v>12</v>
      </c>
      <c r="E48" s="9" t="str">
        <f t="shared" si="3"/>
        <v>240102</v>
      </c>
      <c r="F48" s="9" t="str">
        <f>"郭宗翠"</f>
        <v>郭宗翠</v>
      </c>
      <c r="G48" s="9" t="str">
        <f t="shared" si="2"/>
        <v>女</v>
      </c>
      <c r="H48" s="8"/>
    </row>
    <row r="49" spans="1:8" ht="34.5" customHeight="1">
      <c r="A49" s="8">
        <v>46</v>
      </c>
      <c r="B49" s="9" t="str">
        <f>"651720240604113954127912"</f>
        <v>651720240604113954127912</v>
      </c>
      <c r="C49" s="9" t="s">
        <v>10</v>
      </c>
      <c r="D49" s="9" t="s">
        <v>12</v>
      </c>
      <c r="E49" s="9" t="str">
        <f t="shared" si="3"/>
        <v>240102</v>
      </c>
      <c r="F49" s="9" t="str">
        <f>"金孟宇"</f>
        <v>金孟宇</v>
      </c>
      <c r="G49" s="9" t="str">
        <f t="shared" si="2"/>
        <v>女</v>
      </c>
      <c r="H49" s="8"/>
    </row>
    <row r="50" spans="1:8" ht="34.5" customHeight="1">
      <c r="A50" s="8">
        <v>47</v>
      </c>
      <c r="B50" s="9" t="str">
        <f>"651720240603195957124799"</f>
        <v>651720240603195957124799</v>
      </c>
      <c r="C50" s="9" t="s">
        <v>10</v>
      </c>
      <c r="D50" s="9" t="s">
        <v>12</v>
      </c>
      <c r="E50" s="9" t="str">
        <f t="shared" si="3"/>
        <v>240102</v>
      </c>
      <c r="F50" s="9" t="str">
        <f>"王新琦"</f>
        <v>王新琦</v>
      </c>
      <c r="G50" s="9" t="str">
        <f t="shared" si="2"/>
        <v>女</v>
      </c>
      <c r="H50" s="8"/>
    </row>
    <row r="51" spans="1:8" ht="34.5" customHeight="1">
      <c r="A51" s="8">
        <v>48</v>
      </c>
      <c r="B51" s="9" t="str">
        <f>"651720240605072414132684"</f>
        <v>651720240605072414132684</v>
      </c>
      <c r="C51" s="9" t="s">
        <v>10</v>
      </c>
      <c r="D51" s="9" t="s">
        <v>12</v>
      </c>
      <c r="E51" s="9" t="str">
        <f t="shared" si="3"/>
        <v>240102</v>
      </c>
      <c r="F51" s="9" t="str">
        <f>"林梦玲"</f>
        <v>林梦玲</v>
      </c>
      <c r="G51" s="9" t="str">
        <f t="shared" si="2"/>
        <v>女</v>
      </c>
      <c r="H51" s="8"/>
    </row>
    <row r="52" spans="1:8" ht="34.5" customHeight="1">
      <c r="A52" s="8">
        <v>49</v>
      </c>
      <c r="B52" s="9" t="str">
        <f>"65172024052419504975940"</f>
        <v>65172024052419504975940</v>
      </c>
      <c r="C52" s="9" t="s">
        <v>10</v>
      </c>
      <c r="D52" s="9" t="s">
        <v>13</v>
      </c>
      <c r="E52" s="9" t="str">
        <f aca="true" t="shared" si="4" ref="E52:E69">"240103"</f>
        <v>240103</v>
      </c>
      <c r="F52" s="9" t="str">
        <f>"李宇晴"</f>
        <v>李宇晴</v>
      </c>
      <c r="G52" s="9" t="str">
        <f t="shared" si="2"/>
        <v>女</v>
      </c>
      <c r="H52" s="8"/>
    </row>
    <row r="53" spans="1:8" ht="34.5" customHeight="1">
      <c r="A53" s="8">
        <v>50</v>
      </c>
      <c r="B53" s="9" t="str">
        <f>"65172024052420314875986"</f>
        <v>65172024052420314875986</v>
      </c>
      <c r="C53" s="9" t="s">
        <v>10</v>
      </c>
      <c r="D53" s="9" t="s">
        <v>13</v>
      </c>
      <c r="E53" s="9" t="str">
        <f t="shared" si="4"/>
        <v>240103</v>
      </c>
      <c r="F53" s="9" t="str">
        <f>"符永丽"</f>
        <v>符永丽</v>
      </c>
      <c r="G53" s="9" t="str">
        <f t="shared" si="2"/>
        <v>女</v>
      </c>
      <c r="H53" s="8"/>
    </row>
    <row r="54" spans="1:8" ht="34.5" customHeight="1">
      <c r="A54" s="8">
        <v>51</v>
      </c>
      <c r="B54" s="9" t="str">
        <f>"65172024052614555077845"</f>
        <v>65172024052614555077845</v>
      </c>
      <c r="C54" s="9" t="s">
        <v>10</v>
      </c>
      <c r="D54" s="9" t="s">
        <v>13</v>
      </c>
      <c r="E54" s="9" t="str">
        <f t="shared" si="4"/>
        <v>240103</v>
      </c>
      <c r="F54" s="9" t="str">
        <f>"王选南"</f>
        <v>王选南</v>
      </c>
      <c r="G54" s="9" t="str">
        <f t="shared" si="2"/>
        <v>女</v>
      </c>
      <c r="H54" s="8"/>
    </row>
    <row r="55" spans="1:8" ht="34.5" customHeight="1">
      <c r="A55" s="8">
        <v>52</v>
      </c>
      <c r="B55" s="9" t="str">
        <f>"65172024052610540277524"</f>
        <v>65172024052610540277524</v>
      </c>
      <c r="C55" s="9" t="s">
        <v>10</v>
      </c>
      <c r="D55" s="9" t="s">
        <v>13</v>
      </c>
      <c r="E55" s="9" t="str">
        <f t="shared" si="4"/>
        <v>240103</v>
      </c>
      <c r="F55" s="9" t="str">
        <f>"陈承玲"</f>
        <v>陈承玲</v>
      </c>
      <c r="G55" s="9" t="str">
        <f t="shared" si="2"/>
        <v>女</v>
      </c>
      <c r="H55" s="8"/>
    </row>
    <row r="56" spans="1:8" ht="34.5" customHeight="1">
      <c r="A56" s="8">
        <v>53</v>
      </c>
      <c r="B56" s="9" t="str">
        <f>"65172024052417080875697"</f>
        <v>65172024052417080875697</v>
      </c>
      <c r="C56" s="9" t="s">
        <v>10</v>
      </c>
      <c r="D56" s="9" t="s">
        <v>13</v>
      </c>
      <c r="E56" s="9" t="str">
        <f t="shared" si="4"/>
        <v>240103</v>
      </c>
      <c r="F56" s="9" t="str">
        <f>"周秀清"</f>
        <v>周秀清</v>
      </c>
      <c r="G56" s="9" t="str">
        <f>"男"</f>
        <v>男</v>
      </c>
      <c r="H56" s="8"/>
    </row>
    <row r="57" spans="1:8" ht="34.5" customHeight="1">
      <c r="A57" s="8">
        <v>54</v>
      </c>
      <c r="B57" s="9" t="str">
        <f>"65172024052918492289462"</f>
        <v>65172024052918492289462</v>
      </c>
      <c r="C57" s="9" t="s">
        <v>10</v>
      </c>
      <c r="D57" s="9" t="s">
        <v>13</v>
      </c>
      <c r="E57" s="9" t="str">
        <f t="shared" si="4"/>
        <v>240103</v>
      </c>
      <c r="F57" s="9" t="str">
        <f>"陈华爱"</f>
        <v>陈华爱</v>
      </c>
      <c r="G57" s="9" t="str">
        <f aca="true" t="shared" si="5" ref="G57:G68">"女"</f>
        <v>女</v>
      </c>
      <c r="H57" s="8"/>
    </row>
    <row r="58" spans="1:8" ht="34.5" customHeight="1">
      <c r="A58" s="8">
        <v>55</v>
      </c>
      <c r="B58" s="9" t="str">
        <f>"65172024052409372874170"</f>
        <v>65172024052409372874170</v>
      </c>
      <c r="C58" s="9" t="s">
        <v>10</v>
      </c>
      <c r="D58" s="9" t="s">
        <v>13</v>
      </c>
      <c r="E58" s="9" t="str">
        <f t="shared" si="4"/>
        <v>240103</v>
      </c>
      <c r="F58" s="9" t="str">
        <f>"田丽婷"</f>
        <v>田丽婷</v>
      </c>
      <c r="G58" s="9" t="str">
        <f t="shared" si="5"/>
        <v>女</v>
      </c>
      <c r="H58" s="8"/>
    </row>
    <row r="59" spans="1:8" ht="34.5" customHeight="1">
      <c r="A59" s="8">
        <v>56</v>
      </c>
      <c r="B59" s="9" t="str">
        <f>"65172024053013562295424"</f>
        <v>65172024053013562295424</v>
      </c>
      <c r="C59" s="9" t="s">
        <v>10</v>
      </c>
      <c r="D59" s="9" t="s">
        <v>13</v>
      </c>
      <c r="E59" s="9" t="str">
        <f t="shared" si="4"/>
        <v>240103</v>
      </c>
      <c r="F59" s="9" t="str">
        <f>"陈淑云"</f>
        <v>陈淑云</v>
      </c>
      <c r="G59" s="9" t="str">
        <f t="shared" si="5"/>
        <v>女</v>
      </c>
      <c r="H59" s="8"/>
    </row>
    <row r="60" spans="1:8" ht="34.5" customHeight="1">
      <c r="A60" s="8">
        <v>57</v>
      </c>
      <c r="B60" s="9" t="str">
        <f>"65172024053019582398423"</f>
        <v>65172024053019582398423</v>
      </c>
      <c r="C60" s="9" t="s">
        <v>10</v>
      </c>
      <c r="D60" s="9" t="s">
        <v>13</v>
      </c>
      <c r="E60" s="9" t="str">
        <f t="shared" si="4"/>
        <v>240103</v>
      </c>
      <c r="F60" s="9" t="str">
        <f>"吉妹"</f>
        <v>吉妹</v>
      </c>
      <c r="G60" s="9" t="str">
        <f t="shared" si="5"/>
        <v>女</v>
      </c>
      <c r="H60" s="8"/>
    </row>
    <row r="61" spans="1:8" ht="34.5" customHeight="1">
      <c r="A61" s="8">
        <v>58</v>
      </c>
      <c r="B61" s="9" t="str">
        <f>"651720240531215308108645"</f>
        <v>651720240531215308108645</v>
      </c>
      <c r="C61" s="9" t="s">
        <v>10</v>
      </c>
      <c r="D61" s="9" t="s">
        <v>13</v>
      </c>
      <c r="E61" s="9" t="str">
        <f t="shared" si="4"/>
        <v>240103</v>
      </c>
      <c r="F61" s="9" t="str">
        <f>"符娟蝶"</f>
        <v>符娟蝶</v>
      </c>
      <c r="G61" s="9" t="str">
        <f t="shared" si="5"/>
        <v>女</v>
      </c>
      <c r="H61" s="8"/>
    </row>
    <row r="62" spans="1:8" ht="34.5" customHeight="1">
      <c r="A62" s="8">
        <v>59</v>
      </c>
      <c r="B62" s="9" t="str">
        <f>"651720240601211741112216"</f>
        <v>651720240601211741112216</v>
      </c>
      <c r="C62" s="9" t="s">
        <v>10</v>
      </c>
      <c r="D62" s="9" t="s">
        <v>13</v>
      </c>
      <c r="E62" s="9" t="str">
        <f t="shared" si="4"/>
        <v>240103</v>
      </c>
      <c r="F62" s="9" t="str">
        <f>"林丽柔"</f>
        <v>林丽柔</v>
      </c>
      <c r="G62" s="9" t="str">
        <f t="shared" si="5"/>
        <v>女</v>
      </c>
      <c r="H62" s="8"/>
    </row>
    <row r="63" spans="1:8" ht="34.5" customHeight="1">
      <c r="A63" s="8">
        <v>60</v>
      </c>
      <c r="B63" s="9" t="str">
        <f>"651720240601212638112261"</f>
        <v>651720240601212638112261</v>
      </c>
      <c r="C63" s="9" t="s">
        <v>10</v>
      </c>
      <c r="D63" s="9" t="s">
        <v>13</v>
      </c>
      <c r="E63" s="9" t="str">
        <f t="shared" si="4"/>
        <v>240103</v>
      </c>
      <c r="F63" s="9" t="str">
        <f>"陈冰冰"</f>
        <v>陈冰冰</v>
      </c>
      <c r="G63" s="9" t="str">
        <f t="shared" si="5"/>
        <v>女</v>
      </c>
      <c r="H63" s="8"/>
    </row>
    <row r="64" spans="1:8" ht="34.5" customHeight="1">
      <c r="A64" s="8">
        <v>61</v>
      </c>
      <c r="B64" s="9" t="str">
        <f>"651720240603161318123421"</f>
        <v>651720240603161318123421</v>
      </c>
      <c r="C64" s="9" t="s">
        <v>10</v>
      </c>
      <c r="D64" s="9" t="s">
        <v>13</v>
      </c>
      <c r="E64" s="9" t="str">
        <f t="shared" si="4"/>
        <v>240103</v>
      </c>
      <c r="F64" s="9" t="str">
        <f>"刘文静"</f>
        <v>刘文静</v>
      </c>
      <c r="G64" s="9" t="str">
        <f t="shared" si="5"/>
        <v>女</v>
      </c>
      <c r="H64" s="8"/>
    </row>
    <row r="65" spans="1:8" ht="34.5" customHeight="1">
      <c r="A65" s="8">
        <v>62</v>
      </c>
      <c r="B65" s="9" t="str">
        <f>"651720240531104508101390"</f>
        <v>651720240531104508101390</v>
      </c>
      <c r="C65" s="9" t="s">
        <v>10</v>
      </c>
      <c r="D65" s="9" t="s">
        <v>13</v>
      </c>
      <c r="E65" s="9" t="str">
        <f t="shared" si="4"/>
        <v>240103</v>
      </c>
      <c r="F65" s="9" t="str">
        <f>"邓玉梅"</f>
        <v>邓玉梅</v>
      </c>
      <c r="G65" s="9" t="str">
        <f t="shared" si="5"/>
        <v>女</v>
      </c>
      <c r="H65" s="8"/>
    </row>
    <row r="66" spans="1:8" ht="34.5" customHeight="1">
      <c r="A66" s="8">
        <v>63</v>
      </c>
      <c r="B66" s="9" t="str">
        <f>"651720240604171934130458"</f>
        <v>651720240604171934130458</v>
      </c>
      <c r="C66" s="9" t="s">
        <v>10</v>
      </c>
      <c r="D66" s="9" t="s">
        <v>13</v>
      </c>
      <c r="E66" s="9" t="str">
        <f t="shared" si="4"/>
        <v>240103</v>
      </c>
      <c r="F66" s="9" t="str">
        <f>"周姝霖"</f>
        <v>周姝霖</v>
      </c>
      <c r="G66" s="9" t="str">
        <f t="shared" si="5"/>
        <v>女</v>
      </c>
      <c r="H66" s="8"/>
    </row>
    <row r="67" spans="1:8" ht="34.5" customHeight="1">
      <c r="A67" s="8">
        <v>64</v>
      </c>
      <c r="B67" s="9" t="str">
        <f>"651720240604184339130890"</f>
        <v>651720240604184339130890</v>
      </c>
      <c r="C67" s="9" t="s">
        <v>10</v>
      </c>
      <c r="D67" s="9" t="s">
        <v>13</v>
      </c>
      <c r="E67" s="9" t="str">
        <f t="shared" si="4"/>
        <v>240103</v>
      </c>
      <c r="F67" s="9" t="str">
        <f>"符力丹"</f>
        <v>符力丹</v>
      </c>
      <c r="G67" s="9" t="str">
        <f t="shared" si="5"/>
        <v>女</v>
      </c>
      <c r="H67" s="8"/>
    </row>
    <row r="68" spans="1:8" ht="34.5" customHeight="1">
      <c r="A68" s="8">
        <v>65</v>
      </c>
      <c r="B68" s="9" t="str">
        <f>"651720240604220122132034"</f>
        <v>651720240604220122132034</v>
      </c>
      <c r="C68" s="9" t="s">
        <v>10</v>
      </c>
      <c r="D68" s="9" t="s">
        <v>13</v>
      </c>
      <c r="E68" s="9" t="str">
        <f t="shared" si="4"/>
        <v>240103</v>
      </c>
      <c r="F68" s="9" t="str">
        <f>"杨伊凡"</f>
        <v>杨伊凡</v>
      </c>
      <c r="G68" s="9" t="str">
        <f t="shared" si="5"/>
        <v>女</v>
      </c>
      <c r="H68" s="8"/>
    </row>
    <row r="69" spans="1:8" ht="34.5" customHeight="1">
      <c r="A69" s="8">
        <v>66</v>
      </c>
      <c r="B69" s="9" t="str">
        <f>"651720240604232910132441"</f>
        <v>651720240604232910132441</v>
      </c>
      <c r="C69" s="9" t="s">
        <v>10</v>
      </c>
      <c r="D69" s="9" t="s">
        <v>13</v>
      </c>
      <c r="E69" s="9" t="str">
        <f t="shared" si="4"/>
        <v>240103</v>
      </c>
      <c r="F69" s="9" t="str">
        <f>"赵绵峰"</f>
        <v>赵绵峰</v>
      </c>
      <c r="G69" s="9" t="str">
        <f>"男"</f>
        <v>男</v>
      </c>
      <c r="H69" s="8"/>
    </row>
    <row r="70" spans="1:8" ht="34.5" customHeight="1">
      <c r="A70" s="8">
        <v>67</v>
      </c>
      <c r="B70" s="9" t="str">
        <f>"65172024052616465478011"</f>
        <v>65172024052616465478011</v>
      </c>
      <c r="C70" s="9" t="s">
        <v>10</v>
      </c>
      <c r="D70" s="9" t="s">
        <v>14</v>
      </c>
      <c r="E70" s="9" t="str">
        <f aca="true" t="shared" si="6" ref="E70:E77">"240104"</f>
        <v>240104</v>
      </c>
      <c r="F70" s="9" t="str">
        <f>"邓丹"</f>
        <v>邓丹</v>
      </c>
      <c r="G70" s="9" t="str">
        <f>"女"</f>
        <v>女</v>
      </c>
      <c r="H70" s="8"/>
    </row>
    <row r="71" spans="1:8" ht="34.5" customHeight="1">
      <c r="A71" s="8">
        <v>68</v>
      </c>
      <c r="B71" s="9" t="str">
        <f>"65172024052823525286085"</f>
        <v>65172024052823525286085</v>
      </c>
      <c r="C71" s="9" t="s">
        <v>10</v>
      </c>
      <c r="D71" s="9" t="s">
        <v>14</v>
      </c>
      <c r="E71" s="9" t="str">
        <f t="shared" si="6"/>
        <v>240104</v>
      </c>
      <c r="F71" s="9" t="str">
        <f>"李玉皎"</f>
        <v>李玉皎</v>
      </c>
      <c r="G71" s="9" t="str">
        <f>"女"</f>
        <v>女</v>
      </c>
      <c r="H71" s="8"/>
    </row>
    <row r="72" spans="1:8" ht="34.5" customHeight="1">
      <c r="A72" s="8">
        <v>69</v>
      </c>
      <c r="B72" s="9" t="str">
        <f>"651720240603133944121600"</f>
        <v>651720240603133944121600</v>
      </c>
      <c r="C72" s="9" t="s">
        <v>10</v>
      </c>
      <c r="D72" s="9" t="s">
        <v>14</v>
      </c>
      <c r="E72" s="9" t="str">
        <f t="shared" si="6"/>
        <v>240104</v>
      </c>
      <c r="F72" s="9" t="str">
        <f>"罗清"</f>
        <v>罗清</v>
      </c>
      <c r="G72" s="9" t="str">
        <f>"女"</f>
        <v>女</v>
      </c>
      <c r="H72" s="8"/>
    </row>
    <row r="73" spans="1:8" ht="34.5" customHeight="1">
      <c r="A73" s="8">
        <v>70</v>
      </c>
      <c r="B73" s="9" t="str">
        <f>"651720240603214434125314"</f>
        <v>651720240603214434125314</v>
      </c>
      <c r="C73" s="9" t="s">
        <v>10</v>
      </c>
      <c r="D73" s="9" t="s">
        <v>14</v>
      </c>
      <c r="E73" s="9" t="str">
        <f t="shared" si="6"/>
        <v>240104</v>
      </c>
      <c r="F73" s="9" t="str">
        <f>"吴欣波"</f>
        <v>吴欣波</v>
      </c>
      <c r="G73" s="9" t="str">
        <f>"女"</f>
        <v>女</v>
      </c>
      <c r="H73" s="8"/>
    </row>
    <row r="74" spans="1:8" ht="34.5" customHeight="1">
      <c r="A74" s="8">
        <v>71</v>
      </c>
      <c r="B74" s="9" t="str">
        <f>"651720240604213424131860"</f>
        <v>651720240604213424131860</v>
      </c>
      <c r="C74" s="9" t="s">
        <v>10</v>
      </c>
      <c r="D74" s="9" t="s">
        <v>14</v>
      </c>
      <c r="E74" s="9" t="str">
        <f t="shared" si="6"/>
        <v>240104</v>
      </c>
      <c r="F74" s="9" t="str">
        <f>"李述忠"</f>
        <v>李述忠</v>
      </c>
      <c r="G74" s="9" t="str">
        <f>"男"</f>
        <v>男</v>
      </c>
      <c r="H74" s="8"/>
    </row>
    <row r="75" spans="1:8" ht="34.5" customHeight="1">
      <c r="A75" s="8">
        <v>72</v>
      </c>
      <c r="B75" s="9" t="str">
        <f>"651720240605162737139738"</f>
        <v>651720240605162737139738</v>
      </c>
      <c r="C75" s="9" t="s">
        <v>10</v>
      </c>
      <c r="D75" s="9" t="s">
        <v>14</v>
      </c>
      <c r="E75" s="9" t="str">
        <f t="shared" si="6"/>
        <v>240104</v>
      </c>
      <c r="F75" s="9" t="str">
        <f>"张艺玮"</f>
        <v>张艺玮</v>
      </c>
      <c r="G75" s="9" t="str">
        <f>"女"</f>
        <v>女</v>
      </c>
      <c r="H75" s="8"/>
    </row>
    <row r="76" spans="1:8" ht="34.5" customHeight="1">
      <c r="A76" s="8">
        <v>73</v>
      </c>
      <c r="B76" s="9" t="str">
        <f>"651720240606075236141618"</f>
        <v>651720240606075236141618</v>
      </c>
      <c r="C76" s="9" t="s">
        <v>10</v>
      </c>
      <c r="D76" s="9" t="s">
        <v>14</v>
      </c>
      <c r="E76" s="9" t="str">
        <f t="shared" si="6"/>
        <v>240104</v>
      </c>
      <c r="F76" s="9" t="str">
        <f>"林维演"</f>
        <v>林维演</v>
      </c>
      <c r="G76" s="9" t="str">
        <f>"男"</f>
        <v>男</v>
      </c>
      <c r="H76" s="8"/>
    </row>
    <row r="77" spans="1:8" ht="34.5" customHeight="1">
      <c r="A77" s="8">
        <v>74</v>
      </c>
      <c r="B77" s="9" t="str">
        <f>"651720240605161617139671"</f>
        <v>651720240605161617139671</v>
      </c>
      <c r="C77" s="9" t="s">
        <v>10</v>
      </c>
      <c r="D77" s="9" t="s">
        <v>14</v>
      </c>
      <c r="E77" s="9" t="str">
        <f t="shared" si="6"/>
        <v>240104</v>
      </c>
      <c r="F77" s="9" t="str">
        <f>"黄乔恋"</f>
        <v>黄乔恋</v>
      </c>
      <c r="G77" s="9" t="str">
        <f aca="true" t="shared" si="7" ref="G77:G86">"女"</f>
        <v>女</v>
      </c>
      <c r="H77" s="8"/>
    </row>
    <row r="78" spans="1:8" ht="34.5" customHeight="1">
      <c r="A78" s="8">
        <v>75</v>
      </c>
      <c r="B78" s="9" t="str">
        <f>"65172024052421585976083"</f>
        <v>65172024052421585976083</v>
      </c>
      <c r="C78" s="9" t="s">
        <v>10</v>
      </c>
      <c r="D78" s="9" t="s">
        <v>15</v>
      </c>
      <c r="E78" s="9" t="str">
        <f aca="true" t="shared" si="8" ref="E78:E103">"240105"</f>
        <v>240105</v>
      </c>
      <c r="F78" s="9" t="str">
        <f>"陈乐乐"</f>
        <v>陈乐乐</v>
      </c>
      <c r="G78" s="9" t="str">
        <f t="shared" si="7"/>
        <v>女</v>
      </c>
      <c r="H78" s="8"/>
    </row>
    <row r="79" spans="1:8" ht="34.5" customHeight="1">
      <c r="A79" s="8">
        <v>76</v>
      </c>
      <c r="B79" s="9" t="str">
        <f>"65172024052616154377959"</f>
        <v>65172024052616154377959</v>
      </c>
      <c r="C79" s="9" t="s">
        <v>10</v>
      </c>
      <c r="D79" s="9" t="s">
        <v>15</v>
      </c>
      <c r="E79" s="9" t="str">
        <f t="shared" si="8"/>
        <v>240105</v>
      </c>
      <c r="F79" s="9" t="str">
        <f>"冯婷丽"</f>
        <v>冯婷丽</v>
      </c>
      <c r="G79" s="9" t="str">
        <f t="shared" si="7"/>
        <v>女</v>
      </c>
      <c r="H79" s="8"/>
    </row>
    <row r="80" spans="1:8" ht="34.5" customHeight="1">
      <c r="A80" s="8">
        <v>77</v>
      </c>
      <c r="B80" s="9" t="str">
        <f>"65172024052614294977802"</f>
        <v>65172024052614294977802</v>
      </c>
      <c r="C80" s="9" t="s">
        <v>10</v>
      </c>
      <c r="D80" s="9" t="s">
        <v>15</v>
      </c>
      <c r="E80" s="9" t="str">
        <f t="shared" si="8"/>
        <v>240105</v>
      </c>
      <c r="F80" s="9" t="str">
        <f>"陈琦琦"</f>
        <v>陈琦琦</v>
      </c>
      <c r="G80" s="9" t="str">
        <f t="shared" si="7"/>
        <v>女</v>
      </c>
      <c r="H80" s="8"/>
    </row>
    <row r="81" spans="1:8" ht="34.5" customHeight="1">
      <c r="A81" s="8">
        <v>78</v>
      </c>
      <c r="B81" s="9" t="str">
        <f>"65172024052712032480356"</f>
        <v>65172024052712032480356</v>
      </c>
      <c r="C81" s="9" t="s">
        <v>10</v>
      </c>
      <c r="D81" s="9" t="s">
        <v>15</v>
      </c>
      <c r="E81" s="9" t="str">
        <f t="shared" si="8"/>
        <v>240105</v>
      </c>
      <c r="F81" s="9" t="str">
        <f>"李梓睿"</f>
        <v>李梓睿</v>
      </c>
      <c r="G81" s="9" t="str">
        <f t="shared" si="7"/>
        <v>女</v>
      </c>
      <c r="H81" s="8"/>
    </row>
    <row r="82" spans="1:8" ht="34.5" customHeight="1">
      <c r="A82" s="8">
        <v>79</v>
      </c>
      <c r="B82" s="9" t="str">
        <f>"65172024052720513882309"</f>
        <v>65172024052720513882309</v>
      </c>
      <c r="C82" s="9" t="s">
        <v>10</v>
      </c>
      <c r="D82" s="9" t="s">
        <v>15</v>
      </c>
      <c r="E82" s="9" t="str">
        <f t="shared" si="8"/>
        <v>240105</v>
      </c>
      <c r="F82" s="9" t="str">
        <f>"王艺雯"</f>
        <v>王艺雯</v>
      </c>
      <c r="G82" s="9" t="str">
        <f t="shared" si="7"/>
        <v>女</v>
      </c>
      <c r="H82" s="8"/>
    </row>
    <row r="83" spans="1:8" ht="34.5" customHeight="1">
      <c r="A83" s="8">
        <v>80</v>
      </c>
      <c r="B83" s="9" t="str">
        <f>"65172024052815465383933"</f>
        <v>65172024052815465383933</v>
      </c>
      <c r="C83" s="9" t="s">
        <v>10</v>
      </c>
      <c r="D83" s="9" t="s">
        <v>15</v>
      </c>
      <c r="E83" s="9" t="str">
        <f t="shared" si="8"/>
        <v>240105</v>
      </c>
      <c r="F83" s="9" t="str">
        <f>"田梦涵"</f>
        <v>田梦涵</v>
      </c>
      <c r="G83" s="9" t="str">
        <f t="shared" si="7"/>
        <v>女</v>
      </c>
      <c r="H83" s="8"/>
    </row>
    <row r="84" spans="1:8" ht="34.5" customHeight="1">
      <c r="A84" s="8">
        <v>81</v>
      </c>
      <c r="B84" s="9" t="str">
        <f>"65172024052813190683628"</f>
        <v>65172024052813190683628</v>
      </c>
      <c r="C84" s="9" t="s">
        <v>10</v>
      </c>
      <c r="D84" s="9" t="s">
        <v>15</v>
      </c>
      <c r="E84" s="9" t="str">
        <f t="shared" si="8"/>
        <v>240105</v>
      </c>
      <c r="F84" s="9" t="str">
        <f>"李孙坪"</f>
        <v>李孙坪</v>
      </c>
      <c r="G84" s="9" t="str">
        <f t="shared" si="7"/>
        <v>女</v>
      </c>
      <c r="H84" s="8"/>
    </row>
    <row r="85" spans="1:8" ht="34.5" customHeight="1">
      <c r="A85" s="8">
        <v>82</v>
      </c>
      <c r="B85" s="9" t="str">
        <f>"65172024052911530887316"</f>
        <v>65172024052911530887316</v>
      </c>
      <c r="C85" s="9" t="s">
        <v>10</v>
      </c>
      <c r="D85" s="9" t="s">
        <v>15</v>
      </c>
      <c r="E85" s="9" t="str">
        <f t="shared" si="8"/>
        <v>240105</v>
      </c>
      <c r="F85" s="9" t="str">
        <f>"吴俐"</f>
        <v>吴俐</v>
      </c>
      <c r="G85" s="9" t="str">
        <f t="shared" si="7"/>
        <v>女</v>
      </c>
      <c r="H85" s="8"/>
    </row>
    <row r="86" spans="1:8" ht="34.5" customHeight="1">
      <c r="A86" s="8">
        <v>83</v>
      </c>
      <c r="B86" s="9" t="str">
        <f>"65172024052918172789171"</f>
        <v>65172024052918172789171</v>
      </c>
      <c r="C86" s="9" t="s">
        <v>10</v>
      </c>
      <c r="D86" s="9" t="s">
        <v>15</v>
      </c>
      <c r="E86" s="9" t="str">
        <f t="shared" si="8"/>
        <v>240105</v>
      </c>
      <c r="F86" s="9" t="str">
        <f>"林琳"</f>
        <v>林琳</v>
      </c>
      <c r="G86" s="9" t="str">
        <f t="shared" si="7"/>
        <v>女</v>
      </c>
      <c r="H86" s="8"/>
    </row>
    <row r="87" spans="1:8" ht="34.5" customHeight="1">
      <c r="A87" s="8">
        <v>84</v>
      </c>
      <c r="B87" s="9" t="str">
        <f>"65172024052919072289596"</f>
        <v>65172024052919072289596</v>
      </c>
      <c r="C87" s="9" t="s">
        <v>10</v>
      </c>
      <c r="D87" s="9" t="s">
        <v>15</v>
      </c>
      <c r="E87" s="9" t="str">
        <f t="shared" si="8"/>
        <v>240105</v>
      </c>
      <c r="F87" s="9" t="str">
        <f>"黄宇恒"</f>
        <v>黄宇恒</v>
      </c>
      <c r="G87" s="9" t="str">
        <f>"男"</f>
        <v>男</v>
      </c>
      <c r="H87" s="8"/>
    </row>
    <row r="88" spans="1:8" ht="34.5" customHeight="1">
      <c r="A88" s="8">
        <v>85</v>
      </c>
      <c r="B88" s="9" t="str">
        <f>"65172024053012561795028"</f>
        <v>65172024053012561795028</v>
      </c>
      <c r="C88" s="9" t="s">
        <v>10</v>
      </c>
      <c r="D88" s="9" t="s">
        <v>15</v>
      </c>
      <c r="E88" s="9" t="str">
        <f t="shared" si="8"/>
        <v>240105</v>
      </c>
      <c r="F88" s="9" t="str">
        <f>"陈智文"</f>
        <v>陈智文</v>
      </c>
      <c r="G88" s="9" t="str">
        <f>"男"</f>
        <v>男</v>
      </c>
      <c r="H88" s="8"/>
    </row>
    <row r="89" spans="1:8" ht="34.5" customHeight="1">
      <c r="A89" s="8">
        <v>86</v>
      </c>
      <c r="B89" s="9" t="str">
        <f>"65172024052712582080592"</f>
        <v>65172024052712582080592</v>
      </c>
      <c r="C89" s="9" t="s">
        <v>10</v>
      </c>
      <c r="D89" s="9" t="s">
        <v>15</v>
      </c>
      <c r="E89" s="9" t="str">
        <f t="shared" si="8"/>
        <v>240105</v>
      </c>
      <c r="F89" s="9" t="str">
        <f>"谢瑾"</f>
        <v>谢瑾</v>
      </c>
      <c r="G89" s="9" t="str">
        <f>"女"</f>
        <v>女</v>
      </c>
      <c r="H89" s="8"/>
    </row>
    <row r="90" spans="1:8" ht="34.5" customHeight="1">
      <c r="A90" s="8">
        <v>87</v>
      </c>
      <c r="B90" s="9" t="str">
        <f>"651720240531185942107884"</f>
        <v>651720240531185942107884</v>
      </c>
      <c r="C90" s="9" t="s">
        <v>10</v>
      </c>
      <c r="D90" s="9" t="s">
        <v>15</v>
      </c>
      <c r="E90" s="9" t="str">
        <f t="shared" si="8"/>
        <v>240105</v>
      </c>
      <c r="F90" s="9" t="str">
        <f>"许露好"</f>
        <v>许露好</v>
      </c>
      <c r="G90" s="9" t="str">
        <f>"女"</f>
        <v>女</v>
      </c>
      <c r="H90" s="8"/>
    </row>
    <row r="91" spans="1:8" ht="34.5" customHeight="1">
      <c r="A91" s="8">
        <v>88</v>
      </c>
      <c r="B91" s="9" t="str">
        <f>"651720240601105103109926"</f>
        <v>651720240601105103109926</v>
      </c>
      <c r="C91" s="9" t="s">
        <v>10</v>
      </c>
      <c r="D91" s="9" t="s">
        <v>15</v>
      </c>
      <c r="E91" s="9" t="str">
        <f t="shared" si="8"/>
        <v>240105</v>
      </c>
      <c r="F91" s="9" t="str">
        <f>"林万琼"</f>
        <v>林万琼</v>
      </c>
      <c r="G91" s="9" t="str">
        <f>"男"</f>
        <v>男</v>
      </c>
      <c r="H91" s="8"/>
    </row>
    <row r="92" spans="1:8" ht="34.5" customHeight="1">
      <c r="A92" s="8">
        <v>89</v>
      </c>
      <c r="B92" s="9" t="str">
        <f>"651720240602185309115742"</f>
        <v>651720240602185309115742</v>
      </c>
      <c r="C92" s="9" t="s">
        <v>10</v>
      </c>
      <c r="D92" s="9" t="s">
        <v>15</v>
      </c>
      <c r="E92" s="9" t="str">
        <f t="shared" si="8"/>
        <v>240105</v>
      </c>
      <c r="F92" s="9" t="str">
        <f>"邓万丽"</f>
        <v>邓万丽</v>
      </c>
      <c r="G92" s="9" t="str">
        <f>"女"</f>
        <v>女</v>
      </c>
      <c r="H92" s="8"/>
    </row>
    <row r="93" spans="1:8" ht="34.5" customHeight="1">
      <c r="A93" s="8">
        <v>90</v>
      </c>
      <c r="B93" s="9" t="str">
        <f>"651720240602153856114764"</f>
        <v>651720240602153856114764</v>
      </c>
      <c r="C93" s="9" t="s">
        <v>10</v>
      </c>
      <c r="D93" s="9" t="s">
        <v>15</v>
      </c>
      <c r="E93" s="9" t="str">
        <f t="shared" si="8"/>
        <v>240105</v>
      </c>
      <c r="F93" s="9" t="str">
        <f>"路昊天"</f>
        <v>路昊天</v>
      </c>
      <c r="G93" s="9" t="str">
        <f>"男"</f>
        <v>男</v>
      </c>
      <c r="H93" s="8"/>
    </row>
    <row r="94" spans="1:8" ht="34.5" customHeight="1">
      <c r="A94" s="8">
        <v>91</v>
      </c>
      <c r="B94" s="9" t="str">
        <f>"65172024052618283378137"</f>
        <v>65172024052618283378137</v>
      </c>
      <c r="C94" s="9" t="s">
        <v>10</v>
      </c>
      <c r="D94" s="9" t="s">
        <v>15</v>
      </c>
      <c r="E94" s="9" t="str">
        <f t="shared" si="8"/>
        <v>240105</v>
      </c>
      <c r="F94" s="9" t="str">
        <f>"郑俊涛"</f>
        <v>郑俊涛</v>
      </c>
      <c r="G94" s="9" t="str">
        <f>"男"</f>
        <v>男</v>
      </c>
      <c r="H94" s="8"/>
    </row>
    <row r="95" spans="1:8" ht="34.5" customHeight="1">
      <c r="A95" s="8">
        <v>92</v>
      </c>
      <c r="B95" s="9" t="str">
        <f>"651720240603180457124334"</f>
        <v>651720240603180457124334</v>
      </c>
      <c r="C95" s="9" t="s">
        <v>10</v>
      </c>
      <c r="D95" s="9" t="s">
        <v>15</v>
      </c>
      <c r="E95" s="9" t="str">
        <f t="shared" si="8"/>
        <v>240105</v>
      </c>
      <c r="F95" s="9" t="str">
        <f>"蒋海梅"</f>
        <v>蒋海梅</v>
      </c>
      <c r="G95" s="9" t="str">
        <f>"女"</f>
        <v>女</v>
      </c>
      <c r="H95" s="8"/>
    </row>
    <row r="96" spans="1:8" ht="34.5" customHeight="1">
      <c r="A96" s="8">
        <v>93</v>
      </c>
      <c r="B96" s="9" t="str">
        <f>"65172024052820391085690"</f>
        <v>65172024052820391085690</v>
      </c>
      <c r="C96" s="9" t="s">
        <v>10</v>
      </c>
      <c r="D96" s="9" t="s">
        <v>15</v>
      </c>
      <c r="E96" s="9" t="str">
        <f t="shared" si="8"/>
        <v>240105</v>
      </c>
      <c r="F96" s="9" t="str">
        <f>"赵卿丽"</f>
        <v>赵卿丽</v>
      </c>
      <c r="G96" s="9" t="str">
        <f>"女"</f>
        <v>女</v>
      </c>
      <c r="H96" s="8"/>
    </row>
    <row r="97" spans="1:8" ht="34.5" customHeight="1">
      <c r="A97" s="8">
        <v>94</v>
      </c>
      <c r="B97" s="9" t="str">
        <f>"651720240603200009124801"</f>
        <v>651720240603200009124801</v>
      </c>
      <c r="C97" s="9" t="s">
        <v>10</v>
      </c>
      <c r="D97" s="9" t="s">
        <v>15</v>
      </c>
      <c r="E97" s="9" t="str">
        <f t="shared" si="8"/>
        <v>240105</v>
      </c>
      <c r="F97" s="9" t="str">
        <f>"刘新然"</f>
        <v>刘新然</v>
      </c>
      <c r="G97" s="9" t="str">
        <f>"男"</f>
        <v>男</v>
      </c>
      <c r="H97" s="8"/>
    </row>
    <row r="98" spans="1:8" ht="34.5" customHeight="1">
      <c r="A98" s="8">
        <v>95</v>
      </c>
      <c r="B98" s="9" t="str">
        <f>"651720240604190136130985"</f>
        <v>651720240604190136130985</v>
      </c>
      <c r="C98" s="9" t="s">
        <v>10</v>
      </c>
      <c r="D98" s="9" t="s">
        <v>15</v>
      </c>
      <c r="E98" s="9" t="str">
        <f t="shared" si="8"/>
        <v>240105</v>
      </c>
      <c r="F98" s="9" t="str">
        <f>"王雅芳"</f>
        <v>王雅芳</v>
      </c>
      <c r="G98" s="9" t="str">
        <f>"女"</f>
        <v>女</v>
      </c>
      <c r="H98" s="8"/>
    </row>
    <row r="99" spans="1:8" ht="34.5" customHeight="1">
      <c r="A99" s="8">
        <v>96</v>
      </c>
      <c r="B99" s="9" t="str">
        <f>"651720240605002114132578"</f>
        <v>651720240605002114132578</v>
      </c>
      <c r="C99" s="9" t="s">
        <v>10</v>
      </c>
      <c r="D99" s="9" t="s">
        <v>15</v>
      </c>
      <c r="E99" s="9" t="str">
        <f t="shared" si="8"/>
        <v>240105</v>
      </c>
      <c r="F99" s="9" t="str">
        <f>"吴定泽"</f>
        <v>吴定泽</v>
      </c>
      <c r="G99" s="9" t="str">
        <f>"男"</f>
        <v>男</v>
      </c>
      <c r="H99" s="8"/>
    </row>
    <row r="100" spans="1:8" ht="34.5" customHeight="1">
      <c r="A100" s="8">
        <v>97</v>
      </c>
      <c r="B100" s="9" t="str">
        <f>"651720240604180258130687"</f>
        <v>651720240604180258130687</v>
      </c>
      <c r="C100" s="9" t="s">
        <v>10</v>
      </c>
      <c r="D100" s="9" t="s">
        <v>15</v>
      </c>
      <c r="E100" s="9" t="str">
        <f t="shared" si="8"/>
        <v>240105</v>
      </c>
      <c r="F100" s="9" t="str">
        <f>"韦玉梅"</f>
        <v>韦玉梅</v>
      </c>
      <c r="G100" s="9" t="str">
        <f>"女"</f>
        <v>女</v>
      </c>
      <c r="H100" s="8"/>
    </row>
    <row r="101" spans="1:8" ht="34.5" customHeight="1">
      <c r="A101" s="8">
        <v>98</v>
      </c>
      <c r="B101" s="9" t="str">
        <f>"651720240602174035115414"</f>
        <v>651720240602174035115414</v>
      </c>
      <c r="C101" s="9" t="s">
        <v>10</v>
      </c>
      <c r="D101" s="9" t="s">
        <v>15</v>
      </c>
      <c r="E101" s="9" t="str">
        <f t="shared" si="8"/>
        <v>240105</v>
      </c>
      <c r="F101" s="9" t="str">
        <f>"陈兰粤"</f>
        <v>陈兰粤</v>
      </c>
      <c r="G101" s="9" t="str">
        <f>"女"</f>
        <v>女</v>
      </c>
      <c r="H101" s="8"/>
    </row>
    <row r="102" spans="1:8" ht="34.5" customHeight="1">
      <c r="A102" s="8">
        <v>99</v>
      </c>
      <c r="B102" s="9" t="str">
        <f>"651720240604215306131979"</f>
        <v>651720240604215306131979</v>
      </c>
      <c r="C102" s="9" t="s">
        <v>10</v>
      </c>
      <c r="D102" s="9" t="s">
        <v>15</v>
      </c>
      <c r="E102" s="9" t="str">
        <f t="shared" si="8"/>
        <v>240105</v>
      </c>
      <c r="F102" s="9" t="str">
        <f>"洪子田"</f>
        <v>洪子田</v>
      </c>
      <c r="G102" s="9" t="str">
        <f>"男"</f>
        <v>男</v>
      </c>
      <c r="H102" s="8"/>
    </row>
    <row r="103" spans="1:8" ht="34.5" customHeight="1">
      <c r="A103" s="8">
        <v>100</v>
      </c>
      <c r="B103" s="9" t="str">
        <f>"651720240604190817131013"</f>
        <v>651720240604190817131013</v>
      </c>
      <c r="C103" s="9" t="s">
        <v>10</v>
      </c>
      <c r="D103" s="9" t="s">
        <v>15</v>
      </c>
      <c r="E103" s="9" t="str">
        <f t="shared" si="8"/>
        <v>240105</v>
      </c>
      <c r="F103" s="9" t="str">
        <f>"郑有强"</f>
        <v>郑有强</v>
      </c>
      <c r="G103" s="9" t="str">
        <f>"男"</f>
        <v>男</v>
      </c>
      <c r="H103" s="8"/>
    </row>
    <row r="104" spans="1:8" ht="34.5" customHeight="1">
      <c r="A104" s="8">
        <v>101</v>
      </c>
      <c r="B104" s="9" t="str">
        <f>"65172024052418094875820"</f>
        <v>65172024052418094875820</v>
      </c>
      <c r="C104" s="9" t="s">
        <v>10</v>
      </c>
      <c r="D104" s="9" t="s">
        <v>16</v>
      </c>
      <c r="E104" s="9" t="str">
        <f aca="true" t="shared" si="9" ref="E104:E118">"240106"</f>
        <v>240106</v>
      </c>
      <c r="F104" s="9" t="str">
        <f>"蔡珂琰"</f>
        <v>蔡珂琰</v>
      </c>
      <c r="G104" s="9" t="str">
        <f>"女"</f>
        <v>女</v>
      </c>
      <c r="H104" s="8"/>
    </row>
    <row r="105" spans="1:8" ht="34.5" customHeight="1">
      <c r="A105" s="8">
        <v>102</v>
      </c>
      <c r="B105" s="9" t="str">
        <f>"65172024052414254975098"</f>
        <v>65172024052414254975098</v>
      </c>
      <c r="C105" s="9" t="s">
        <v>10</v>
      </c>
      <c r="D105" s="9" t="s">
        <v>16</v>
      </c>
      <c r="E105" s="9" t="str">
        <f t="shared" si="9"/>
        <v>240106</v>
      </c>
      <c r="F105" s="9" t="str">
        <f>"王琪"</f>
        <v>王琪</v>
      </c>
      <c r="G105" s="9" t="str">
        <f>"女"</f>
        <v>女</v>
      </c>
      <c r="H105" s="8" t="s">
        <v>17</v>
      </c>
    </row>
    <row r="106" spans="1:8" ht="34.5" customHeight="1">
      <c r="A106" s="8">
        <v>103</v>
      </c>
      <c r="B106" s="9" t="str">
        <f>"65172024052521070077095"</f>
        <v>65172024052521070077095</v>
      </c>
      <c r="C106" s="9" t="s">
        <v>10</v>
      </c>
      <c r="D106" s="9" t="s">
        <v>16</v>
      </c>
      <c r="E106" s="9" t="str">
        <f t="shared" si="9"/>
        <v>240106</v>
      </c>
      <c r="F106" s="9" t="str">
        <f>"王晓翠"</f>
        <v>王晓翠</v>
      </c>
      <c r="G106" s="9" t="str">
        <f>"女"</f>
        <v>女</v>
      </c>
      <c r="H106" s="8"/>
    </row>
    <row r="107" spans="1:8" ht="34.5" customHeight="1">
      <c r="A107" s="8">
        <v>104</v>
      </c>
      <c r="B107" s="9" t="str">
        <f>"65172024052616133977954"</f>
        <v>65172024052616133977954</v>
      </c>
      <c r="C107" s="9" t="s">
        <v>10</v>
      </c>
      <c r="D107" s="9" t="s">
        <v>16</v>
      </c>
      <c r="E107" s="9" t="str">
        <f t="shared" si="9"/>
        <v>240106</v>
      </c>
      <c r="F107" s="9" t="str">
        <f>"钟骊"</f>
        <v>钟骊</v>
      </c>
      <c r="G107" s="9" t="str">
        <f>"女"</f>
        <v>女</v>
      </c>
      <c r="H107" s="8"/>
    </row>
    <row r="108" spans="1:8" ht="34.5" customHeight="1">
      <c r="A108" s="8">
        <v>105</v>
      </c>
      <c r="B108" s="9" t="str">
        <f>"65172024052613511177743"</f>
        <v>65172024052613511177743</v>
      </c>
      <c r="C108" s="9" t="s">
        <v>10</v>
      </c>
      <c r="D108" s="9" t="s">
        <v>16</v>
      </c>
      <c r="E108" s="9" t="str">
        <f t="shared" si="9"/>
        <v>240106</v>
      </c>
      <c r="F108" s="9" t="str">
        <f>"黄茜"</f>
        <v>黄茜</v>
      </c>
      <c r="G108" s="9" t="str">
        <f>"女"</f>
        <v>女</v>
      </c>
      <c r="H108" s="8"/>
    </row>
    <row r="109" spans="1:8" ht="34.5" customHeight="1">
      <c r="A109" s="8">
        <v>106</v>
      </c>
      <c r="B109" s="9" t="str">
        <f>"65172024052721073882358"</f>
        <v>65172024052721073882358</v>
      </c>
      <c r="C109" s="9" t="s">
        <v>10</v>
      </c>
      <c r="D109" s="9" t="s">
        <v>16</v>
      </c>
      <c r="E109" s="9" t="str">
        <f t="shared" si="9"/>
        <v>240106</v>
      </c>
      <c r="F109" s="9" t="str">
        <f>"王修明"</f>
        <v>王修明</v>
      </c>
      <c r="G109" s="9" t="str">
        <f>"男"</f>
        <v>男</v>
      </c>
      <c r="H109" s="8"/>
    </row>
    <row r="110" spans="1:8" ht="34.5" customHeight="1">
      <c r="A110" s="8">
        <v>107</v>
      </c>
      <c r="B110" s="9" t="str">
        <f>"65172024052800234382798"</f>
        <v>65172024052800234382798</v>
      </c>
      <c r="C110" s="9" t="s">
        <v>10</v>
      </c>
      <c r="D110" s="9" t="s">
        <v>16</v>
      </c>
      <c r="E110" s="9" t="str">
        <f t="shared" si="9"/>
        <v>240106</v>
      </c>
      <c r="F110" s="9" t="str">
        <f>"郑学妹"</f>
        <v>郑学妹</v>
      </c>
      <c r="G110" s="9" t="str">
        <f>"女"</f>
        <v>女</v>
      </c>
      <c r="H110" s="8"/>
    </row>
    <row r="111" spans="1:8" ht="34.5" customHeight="1">
      <c r="A111" s="8">
        <v>108</v>
      </c>
      <c r="B111" s="9" t="str">
        <f>"65172024052900545186135"</f>
        <v>65172024052900545186135</v>
      </c>
      <c r="C111" s="9" t="s">
        <v>10</v>
      </c>
      <c r="D111" s="9" t="s">
        <v>16</v>
      </c>
      <c r="E111" s="9" t="str">
        <f t="shared" si="9"/>
        <v>240106</v>
      </c>
      <c r="F111" s="9" t="str">
        <f>"纪元"</f>
        <v>纪元</v>
      </c>
      <c r="G111" s="9" t="str">
        <f>"女"</f>
        <v>女</v>
      </c>
      <c r="H111" s="8"/>
    </row>
    <row r="112" spans="1:8" ht="34.5" customHeight="1">
      <c r="A112" s="8">
        <v>109</v>
      </c>
      <c r="B112" s="9" t="str">
        <f>"65172024052811363483396"</f>
        <v>65172024052811363483396</v>
      </c>
      <c r="C112" s="9" t="s">
        <v>10</v>
      </c>
      <c r="D112" s="9" t="s">
        <v>16</v>
      </c>
      <c r="E112" s="9" t="str">
        <f t="shared" si="9"/>
        <v>240106</v>
      </c>
      <c r="F112" s="9" t="str">
        <f>"严日光"</f>
        <v>严日光</v>
      </c>
      <c r="G112" s="9" t="str">
        <f>"男"</f>
        <v>男</v>
      </c>
      <c r="H112" s="8"/>
    </row>
    <row r="113" spans="1:8" ht="34.5" customHeight="1">
      <c r="A113" s="8">
        <v>110</v>
      </c>
      <c r="B113" s="9" t="str">
        <f>"651720240531194204108045"</f>
        <v>651720240531194204108045</v>
      </c>
      <c r="C113" s="9" t="s">
        <v>10</v>
      </c>
      <c r="D113" s="9" t="s">
        <v>16</v>
      </c>
      <c r="E113" s="9" t="str">
        <f t="shared" si="9"/>
        <v>240106</v>
      </c>
      <c r="F113" s="9" t="str">
        <f>"王小玉"</f>
        <v>王小玉</v>
      </c>
      <c r="G113" s="9" t="str">
        <f>"女"</f>
        <v>女</v>
      </c>
      <c r="H113" s="8"/>
    </row>
    <row r="114" spans="1:8" ht="34.5" customHeight="1">
      <c r="A114" s="8">
        <v>111</v>
      </c>
      <c r="B114" s="9" t="str">
        <f>"651720240531150337104224"</f>
        <v>651720240531150337104224</v>
      </c>
      <c r="C114" s="9" t="s">
        <v>10</v>
      </c>
      <c r="D114" s="9" t="s">
        <v>16</v>
      </c>
      <c r="E114" s="9" t="str">
        <f t="shared" si="9"/>
        <v>240106</v>
      </c>
      <c r="F114" s="9" t="str">
        <f>"刘钰蓥"</f>
        <v>刘钰蓥</v>
      </c>
      <c r="G114" s="9" t="str">
        <f>"女"</f>
        <v>女</v>
      </c>
      <c r="H114" s="8"/>
    </row>
    <row r="115" spans="1:8" ht="34.5" customHeight="1">
      <c r="A115" s="8">
        <v>112</v>
      </c>
      <c r="B115" s="9" t="str">
        <f>"65172024053022022999238"</f>
        <v>65172024053022022999238</v>
      </c>
      <c r="C115" s="9" t="s">
        <v>10</v>
      </c>
      <c r="D115" s="9" t="s">
        <v>16</v>
      </c>
      <c r="E115" s="9" t="str">
        <f t="shared" si="9"/>
        <v>240106</v>
      </c>
      <c r="F115" s="9" t="str">
        <f>"黄振智"</f>
        <v>黄振智</v>
      </c>
      <c r="G115" s="9" t="str">
        <f>"男"</f>
        <v>男</v>
      </c>
      <c r="H115" s="8"/>
    </row>
    <row r="116" spans="1:8" ht="34.5" customHeight="1">
      <c r="A116" s="8">
        <v>113</v>
      </c>
      <c r="B116" s="9" t="str">
        <f>"651720240603033633117605"</f>
        <v>651720240603033633117605</v>
      </c>
      <c r="C116" s="9" t="s">
        <v>10</v>
      </c>
      <c r="D116" s="9" t="s">
        <v>16</v>
      </c>
      <c r="E116" s="9" t="str">
        <f t="shared" si="9"/>
        <v>240106</v>
      </c>
      <c r="F116" s="9" t="str">
        <f>"卢佳佳"</f>
        <v>卢佳佳</v>
      </c>
      <c r="G116" s="9" t="str">
        <f>"女"</f>
        <v>女</v>
      </c>
      <c r="H116" s="8"/>
    </row>
    <row r="117" spans="1:8" ht="34.5" customHeight="1">
      <c r="A117" s="8">
        <v>114</v>
      </c>
      <c r="B117" s="9" t="str">
        <f>"651720240603212234125191"</f>
        <v>651720240603212234125191</v>
      </c>
      <c r="C117" s="9" t="s">
        <v>10</v>
      </c>
      <c r="D117" s="9" t="s">
        <v>16</v>
      </c>
      <c r="E117" s="9" t="str">
        <f t="shared" si="9"/>
        <v>240106</v>
      </c>
      <c r="F117" s="9" t="str">
        <f>"吴廷欣"</f>
        <v>吴廷欣</v>
      </c>
      <c r="G117" s="9" t="str">
        <f>"女"</f>
        <v>女</v>
      </c>
      <c r="H117" s="8"/>
    </row>
    <row r="118" spans="1:8" ht="34.5" customHeight="1">
      <c r="A118" s="8">
        <v>115</v>
      </c>
      <c r="B118" s="9" t="str">
        <f>"651720240606144739143125"</f>
        <v>651720240606144739143125</v>
      </c>
      <c r="C118" s="9" t="s">
        <v>10</v>
      </c>
      <c r="D118" s="9" t="s">
        <v>16</v>
      </c>
      <c r="E118" s="9" t="str">
        <f t="shared" si="9"/>
        <v>240106</v>
      </c>
      <c r="F118" s="9" t="str">
        <f>"王紫莹"</f>
        <v>王紫莹</v>
      </c>
      <c r="G118" s="9" t="str">
        <f>"女"</f>
        <v>女</v>
      </c>
      <c r="H118" s="8"/>
    </row>
    <row r="119" spans="1:8" ht="34.5" customHeight="1">
      <c r="A119" s="8">
        <v>116</v>
      </c>
      <c r="B119" s="9" t="str">
        <f>"65172024052409152574068"</f>
        <v>65172024052409152574068</v>
      </c>
      <c r="C119" s="9" t="s">
        <v>10</v>
      </c>
      <c r="D119" s="9" t="s">
        <v>18</v>
      </c>
      <c r="E119" s="9" t="str">
        <f aca="true" t="shared" si="10" ref="E119:E152">"240107"</f>
        <v>240107</v>
      </c>
      <c r="F119" s="9" t="str">
        <f>"王育全"</f>
        <v>王育全</v>
      </c>
      <c r="G119" s="9" t="str">
        <f>"男"</f>
        <v>男</v>
      </c>
      <c r="H119" s="8"/>
    </row>
    <row r="120" spans="1:8" ht="34.5" customHeight="1">
      <c r="A120" s="8">
        <v>117</v>
      </c>
      <c r="B120" s="9" t="str">
        <f>"65172024052415574775444"</f>
        <v>65172024052415574775444</v>
      </c>
      <c r="C120" s="9" t="s">
        <v>10</v>
      </c>
      <c r="D120" s="9" t="s">
        <v>18</v>
      </c>
      <c r="E120" s="9" t="str">
        <f t="shared" si="10"/>
        <v>240107</v>
      </c>
      <c r="F120" s="9" t="str">
        <f>"梁家龙"</f>
        <v>梁家龙</v>
      </c>
      <c r="G120" s="9" t="str">
        <f>"男"</f>
        <v>男</v>
      </c>
      <c r="H120" s="8"/>
    </row>
    <row r="121" spans="1:8" ht="34.5" customHeight="1">
      <c r="A121" s="8">
        <v>118</v>
      </c>
      <c r="B121" s="9" t="str">
        <f>"65172024052512131676488"</f>
        <v>65172024052512131676488</v>
      </c>
      <c r="C121" s="9" t="s">
        <v>10</v>
      </c>
      <c r="D121" s="9" t="s">
        <v>18</v>
      </c>
      <c r="E121" s="9" t="str">
        <f t="shared" si="10"/>
        <v>240107</v>
      </c>
      <c r="F121" s="9" t="str">
        <f>"朱威超"</f>
        <v>朱威超</v>
      </c>
      <c r="G121" s="9" t="str">
        <f>"男"</f>
        <v>男</v>
      </c>
      <c r="H121" s="8"/>
    </row>
    <row r="122" spans="1:8" ht="34.5" customHeight="1">
      <c r="A122" s="8">
        <v>119</v>
      </c>
      <c r="B122" s="9" t="str">
        <f>"65172024052516275276790"</f>
        <v>65172024052516275276790</v>
      </c>
      <c r="C122" s="9" t="s">
        <v>10</v>
      </c>
      <c r="D122" s="9" t="s">
        <v>18</v>
      </c>
      <c r="E122" s="9" t="str">
        <f t="shared" si="10"/>
        <v>240107</v>
      </c>
      <c r="F122" s="9" t="str">
        <f>"谭妮"</f>
        <v>谭妮</v>
      </c>
      <c r="G122" s="9" t="str">
        <f>"女"</f>
        <v>女</v>
      </c>
      <c r="H122" s="8"/>
    </row>
    <row r="123" spans="1:8" ht="34.5" customHeight="1">
      <c r="A123" s="8">
        <v>120</v>
      </c>
      <c r="B123" s="9" t="str">
        <f>"65172024052611561677606"</f>
        <v>65172024052611561677606</v>
      </c>
      <c r="C123" s="9" t="s">
        <v>10</v>
      </c>
      <c r="D123" s="9" t="s">
        <v>18</v>
      </c>
      <c r="E123" s="9" t="str">
        <f t="shared" si="10"/>
        <v>240107</v>
      </c>
      <c r="F123" s="9" t="str">
        <f>"倪德彪"</f>
        <v>倪德彪</v>
      </c>
      <c r="G123" s="9" t="str">
        <f>"男"</f>
        <v>男</v>
      </c>
      <c r="H123" s="8"/>
    </row>
    <row r="124" spans="1:8" ht="34.5" customHeight="1">
      <c r="A124" s="8">
        <v>121</v>
      </c>
      <c r="B124" s="9" t="str">
        <f>"65172024052619005378172"</f>
        <v>65172024052619005378172</v>
      </c>
      <c r="C124" s="9" t="s">
        <v>10</v>
      </c>
      <c r="D124" s="9" t="s">
        <v>18</v>
      </c>
      <c r="E124" s="9" t="str">
        <f t="shared" si="10"/>
        <v>240107</v>
      </c>
      <c r="F124" s="9" t="str">
        <f>"李既威"</f>
        <v>李既威</v>
      </c>
      <c r="G124" s="9" t="str">
        <f>"男"</f>
        <v>男</v>
      </c>
      <c r="H124" s="8"/>
    </row>
    <row r="125" spans="1:8" ht="34.5" customHeight="1">
      <c r="A125" s="8">
        <v>122</v>
      </c>
      <c r="B125" s="9" t="str">
        <f>"65172024052622083078473"</f>
        <v>65172024052622083078473</v>
      </c>
      <c r="C125" s="9" t="s">
        <v>10</v>
      </c>
      <c r="D125" s="9" t="s">
        <v>18</v>
      </c>
      <c r="E125" s="9" t="str">
        <f t="shared" si="10"/>
        <v>240107</v>
      </c>
      <c r="F125" s="9" t="str">
        <f>"陈振日"</f>
        <v>陈振日</v>
      </c>
      <c r="G125" s="9" t="str">
        <f>"男"</f>
        <v>男</v>
      </c>
      <c r="H125" s="8"/>
    </row>
    <row r="126" spans="1:8" ht="34.5" customHeight="1">
      <c r="A126" s="8">
        <v>123</v>
      </c>
      <c r="B126" s="9" t="str">
        <f>"65172024052712114980391"</f>
        <v>65172024052712114980391</v>
      </c>
      <c r="C126" s="9" t="s">
        <v>10</v>
      </c>
      <c r="D126" s="9" t="s">
        <v>18</v>
      </c>
      <c r="E126" s="9" t="str">
        <f t="shared" si="10"/>
        <v>240107</v>
      </c>
      <c r="F126" s="9" t="str">
        <f>"齐闯"</f>
        <v>齐闯</v>
      </c>
      <c r="G126" s="9" t="str">
        <f>"男"</f>
        <v>男</v>
      </c>
      <c r="H126" s="8"/>
    </row>
    <row r="127" spans="1:8" ht="34.5" customHeight="1">
      <c r="A127" s="8">
        <v>124</v>
      </c>
      <c r="B127" s="9" t="str">
        <f>"65172024052423245976149"</f>
        <v>65172024052423245976149</v>
      </c>
      <c r="C127" s="9" t="s">
        <v>10</v>
      </c>
      <c r="D127" s="9" t="s">
        <v>18</v>
      </c>
      <c r="E127" s="9" t="str">
        <f t="shared" si="10"/>
        <v>240107</v>
      </c>
      <c r="F127" s="9" t="str">
        <f>"符丽娜"</f>
        <v>符丽娜</v>
      </c>
      <c r="G127" s="9" t="str">
        <f>"女"</f>
        <v>女</v>
      </c>
      <c r="H127" s="8"/>
    </row>
    <row r="128" spans="1:8" ht="34.5" customHeight="1">
      <c r="A128" s="8">
        <v>125</v>
      </c>
      <c r="B128" s="9" t="str">
        <f>"65172024052720533082312"</f>
        <v>65172024052720533082312</v>
      </c>
      <c r="C128" s="9" t="s">
        <v>10</v>
      </c>
      <c r="D128" s="9" t="s">
        <v>18</v>
      </c>
      <c r="E128" s="9" t="str">
        <f t="shared" si="10"/>
        <v>240107</v>
      </c>
      <c r="F128" s="9" t="str">
        <f>"陈贝贝"</f>
        <v>陈贝贝</v>
      </c>
      <c r="G128" s="9" t="str">
        <f>"女"</f>
        <v>女</v>
      </c>
      <c r="H128" s="8"/>
    </row>
    <row r="129" spans="1:8" ht="34.5" customHeight="1">
      <c r="A129" s="8">
        <v>126</v>
      </c>
      <c r="B129" s="9" t="str">
        <f>"65172024052708360678763"</f>
        <v>65172024052708360678763</v>
      </c>
      <c r="C129" s="9" t="s">
        <v>10</v>
      </c>
      <c r="D129" s="9" t="s">
        <v>18</v>
      </c>
      <c r="E129" s="9" t="str">
        <f t="shared" si="10"/>
        <v>240107</v>
      </c>
      <c r="F129" s="9" t="str">
        <f>"罗鸣"</f>
        <v>罗鸣</v>
      </c>
      <c r="G129" s="9" t="str">
        <f>"男"</f>
        <v>男</v>
      </c>
      <c r="H129" s="8"/>
    </row>
    <row r="130" spans="1:8" ht="34.5" customHeight="1">
      <c r="A130" s="8">
        <v>127</v>
      </c>
      <c r="B130" s="9" t="str">
        <f>"65172024052722044882539"</f>
        <v>65172024052722044882539</v>
      </c>
      <c r="C130" s="9" t="s">
        <v>10</v>
      </c>
      <c r="D130" s="9" t="s">
        <v>18</v>
      </c>
      <c r="E130" s="9" t="str">
        <f t="shared" si="10"/>
        <v>240107</v>
      </c>
      <c r="F130" s="9" t="str">
        <f>"徐杰"</f>
        <v>徐杰</v>
      </c>
      <c r="G130" s="9" t="str">
        <f>"男"</f>
        <v>男</v>
      </c>
      <c r="H130" s="8"/>
    </row>
    <row r="131" spans="1:8" ht="34.5" customHeight="1">
      <c r="A131" s="8">
        <v>128</v>
      </c>
      <c r="B131" s="9" t="str">
        <f>"65172024052815302783881"</f>
        <v>65172024052815302783881</v>
      </c>
      <c r="C131" s="9" t="s">
        <v>10</v>
      </c>
      <c r="D131" s="9" t="s">
        <v>18</v>
      </c>
      <c r="E131" s="9" t="str">
        <f t="shared" si="10"/>
        <v>240107</v>
      </c>
      <c r="F131" s="9" t="str">
        <f>"冯烜"</f>
        <v>冯烜</v>
      </c>
      <c r="G131" s="9" t="str">
        <f>"女"</f>
        <v>女</v>
      </c>
      <c r="H131" s="8"/>
    </row>
    <row r="132" spans="1:8" ht="34.5" customHeight="1">
      <c r="A132" s="8">
        <v>129</v>
      </c>
      <c r="B132" s="9" t="str">
        <f>"65172024052822023485878"</f>
        <v>65172024052822023485878</v>
      </c>
      <c r="C132" s="9" t="s">
        <v>10</v>
      </c>
      <c r="D132" s="9" t="s">
        <v>18</v>
      </c>
      <c r="E132" s="9" t="str">
        <f t="shared" si="10"/>
        <v>240107</v>
      </c>
      <c r="F132" s="9" t="str">
        <f>"吉少岩"</f>
        <v>吉少岩</v>
      </c>
      <c r="G132" s="9" t="str">
        <f>"男"</f>
        <v>男</v>
      </c>
      <c r="H132" s="8"/>
    </row>
    <row r="133" spans="1:8" ht="34.5" customHeight="1">
      <c r="A133" s="8">
        <v>130</v>
      </c>
      <c r="B133" s="9" t="str">
        <f>"65172024052915115888044"</f>
        <v>65172024052915115888044</v>
      </c>
      <c r="C133" s="9" t="s">
        <v>10</v>
      </c>
      <c r="D133" s="9" t="s">
        <v>18</v>
      </c>
      <c r="E133" s="9" t="str">
        <f t="shared" si="10"/>
        <v>240107</v>
      </c>
      <c r="F133" s="9" t="str">
        <f>"户俊钧"</f>
        <v>户俊钧</v>
      </c>
      <c r="G133" s="9" t="str">
        <f>"男"</f>
        <v>男</v>
      </c>
      <c r="H133" s="8"/>
    </row>
    <row r="134" spans="1:8" ht="34.5" customHeight="1">
      <c r="A134" s="8">
        <v>131</v>
      </c>
      <c r="B134" s="9" t="str">
        <f>"65172024052921203990554"</f>
        <v>65172024052921203990554</v>
      </c>
      <c r="C134" s="9" t="s">
        <v>10</v>
      </c>
      <c r="D134" s="9" t="s">
        <v>18</v>
      </c>
      <c r="E134" s="9" t="str">
        <f t="shared" si="10"/>
        <v>240107</v>
      </c>
      <c r="F134" s="9" t="str">
        <f>"叶冰冰"</f>
        <v>叶冰冰</v>
      </c>
      <c r="G134" s="9" t="str">
        <f>"女"</f>
        <v>女</v>
      </c>
      <c r="H134" s="8"/>
    </row>
    <row r="135" spans="1:8" ht="34.5" customHeight="1">
      <c r="A135" s="8">
        <v>132</v>
      </c>
      <c r="B135" s="9" t="str">
        <f>"65172024053010191893333"</f>
        <v>65172024053010191893333</v>
      </c>
      <c r="C135" s="9" t="s">
        <v>10</v>
      </c>
      <c r="D135" s="9" t="s">
        <v>18</v>
      </c>
      <c r="E135" s="9" t="str">
        <f t="shared" si="10"/>
        <v>240107</v>
      </c>
      <c r="F135" s="9" t="str">
        <f>"辜林帅"</f>
        <v>辜林帅</v>
      </c>
      <c r="G135" s="9" t="str">
        <f>"男"</f>
        <v>男</v>
      </c>
      <c r="H135" s="8"/>
    </row>
    <row r="136" spans="1:8" ht="34.5" customHeight="1">
      <c r="A136" s="8">
        <v>133</v>
      </c>
      <c r="B136" s="9" t="str">
        <f>"65172024053011420794397"</f>
        <v>65172024053011420794397</v>
      </c>
      <c r="C136" s="9" t="s">
        <v>10</v>
      </c>
      <c r="D136" s="9" t="s">
        <v>18</v>
      </c>
      <c r="E136" s="9" t="str">
        <f t="shared" si="10"/>
        <v>240107</v>
      </c>
      <c r="F136" s="9" t="str">
        <f>"黄丹"</f>
        <v>黄丹</v>
      </c>
      <c r="G136" s="9" t="str">
        <f>"女"</f>
        <v>女</v>
      </c>
      <c r="H136" s="8"/>
    </row>
    <row r="137" spans="1:8" ht="34.5" customHeight="1">
      <c r="A137" s="8">
        <v>134</v>
      </c>
      <c r="B137" s="9" t="str">
        <f>"65172024053019182898177"</f>
        <v>65172024053019182898177</v>
      </c>
      <c r="C137" s="9" t="s">
        <v>10</v>
      </c>
      <c r="D137" s="9" t="s">
        <v>18</v>
      </c>
      <c r="E137" s="9" t="str">
        <f t="shared" si="10"/>
        <v>240107</v>
      </c>
      <c r="F137" s="9" t="str">
        <f>"陈咪咪"</f>
        <v>陈咪咪</v>
      </c>
      <c r="G137" s="9" t="str">
        <f>"女"</f>
        <v>女</v>
      </c>
      <c r="H137" s="8"/>
    </row>
    <row r="138" spans="1:8" ht="34.5" customHeight="1">
      <c r="A138" s="8">
        <v>135</v>
      </c>
      <c r="B138" s="9" t="str">
        <f>"65172024053016145796795"</f>
        <v>65172024053016145796795</v>
      </c>
      <c r="C138" s="9" t="s">
        <v>10</v>
      </c>
      <c r="D138" s="9" t="s">
        <v>18</v>
      </c>
      <c r="E138" s="9" t="str">
        <f t="shared" si="10"/>
        <v>240107</v>
      </c>
      <c r="F138" s="9" t="str">
        <f>"陈玟宇"</f>
        <v>陈玟宇</v>
      </c>
      <c r="G138" s="9" t="str">
        <f>"男"</f>
        <v>男</v>
      </c>
      <c r="H138" s="8"/>
    </row>
    <row r="139" spans="1:8" ht="34.5" customHeight="1">
      <c r="A139" s="8">
        <v>136</v>
      </c>
      <c r="B139" s="9" t="str">
        <f>"651720240601102045109777"</f>
        <v>651720240601102045109777</v>
      </c>
      <c r="C139" s="9" t="s">
        <v>10</v>
      </c>
      <c r="D139" s="9" t="s">
        <v>18</v>
      </c>
      <c r="E139" s="9" t="str">
        <f t="shared" si="10"/>
        <v>240107</v>
      </c>
      <c r="F139" s="9" t="str">
        <f>"李雯飞"</f>
        <v>李雯飞</v>
      </c>
      <c r="G139" s="9" t="str">
        <f>"女"</f>
        <v>女</v>
      </c>
      <c r="H139" s="8"/>
    </row>
    <row r="140" spans="1:8" ht="34.5" customHeight="1">
      <c r="A140" s="8">
        <v>137</v>
      </c>
      <c r="B140" s="9" t="str">
        <f>"651720240603071651117693"</f>
        <v>651720240603071651117693</v>
      </c>
      <c r="C140" s="9" t="s">
        <v>10</v>
      </c>
      <c r="D140" s="9" t="s">
        <v>18</v>
      </c>
      <c r="E140" s="9" t="str">
        <f t="shared" si="10"/>
        <v>240107</v>
      </c>
      <c r="F140" s="9" t="str">
        <f>"温文杰"</f>
        <v>温文杰</v>
      </c>
      <c r="G140" s="9" t="str">
        <f>"男"</f>
        <v>男</v>
      </c>
      <c r="H140" s="8"/>
    </row>
    <row r="141" spans="1:8" ht="34.5" customHeight="1">
      <c r="A141" s="8">
        <v>138</v>
      </c>
      <c r="B141" s="9" t="str">
        <f>"651720240603014701117572"</f>
        <v>651720240603014701117572</v>
      </c>
      <c r="C141" s="9" t="s">
        <v>10</v>
      </c>
      <c r="D141" s="9" t="s">
        <v>18</v>
      </c>
      <c r="E141" s="9" t="str">
        <f t="shared" si="10"/>
        <v>240107</v>
      </c>
      <c r="F141" s="9" t="str">
        <f>"杨甜甜"</f>
        <v>杨甜甜</v>
      </c>
      <c r="G141" s="9" t="str">
        <f>"女"</f>
        <v>女</v>
      </c>
      <c r="H141" s="8"/>
    </row>
    <row r="142" spans="1:8" ht="34.5" customHeight="1">
      <c r="A142" s="8">
        <v>139</v>
      </c>
      <c r="B142" s="9" t="str">
        <f>"651720240603192115124643"</f>
        <v>651720240603192115124643</v>
      </c>
      <c r="C142" s="9" t="s">
        <v>10</v>
      </c>
      <c r="D142" s="9" t="s">
        <v>18</v>
      </c>
      <c r="E142" s="9" t="str">
        <f t="shared" si="10"/>
        <v>240107</v>
      </c>
      <c r="F142" s="9" t="str">
        <f>"李传浪"</f>
        <v>李传浪</v>
      </c>
      <c r="G142" s="9" t="str">
        <f>"男"</f>
        <v>男</v>
      </c>
      <c r="H142" s="8"/>
    </row>
    <row r="143" spans="1:8" ht="34.5" customHeight="1">
      <c r="A143" s="8">
        <v>140</v>
      </c>
      <c r="B143" s="9" t="str">
        <f>"651720240603212353125199"</f>
        <v>651720240603212353125199</v>
      </c>
      <c r="C143" s="9" t="s">
        <v>10</v>
      </c>
      <c r="D143" s="9" t="s">
        <v>18</v>
      </c>
      <c r="E143" s="9" t="str">
        <f t="shared" si="10"/>
        <v>240107</v>
      </c>
      <c r="F143" s="9" t="str">
        <f>"曾维辉"</f>
        <v>曾维辉</v>
      </c>
      <c r="G143" s="9" t="str">
        <f>"男"</f>
        <v>男</v>
      </c>
      <c r="H143" s="8"/>
    </row>
    <row r="144" spans="1:8" ht="34.5" customHeight="1">
      <c r="A144" s="8">
        <v>141</v>
      </c>
      <c r="B144" s="9" t="str">
        <f>"651720240603185746124561"</f>
        <v>651720240603185746124561</v>
      </c>
      <c r="C144" s="9" t="s">
        <v>10</v>
      </c>
      <c r="D144" s="9" t="s">
        <v>18</v>
      </c>
      <c r="E144" s="9" t="str">
        <f t="shared" si="10"/>
        <v>240107</v>
      </c>
      <c r="F144" s="9" t="str">
        <f>"李梦圆"</f>
        <v>李梦圆</v>
      </c>
      <c r="G144" s="9" t="str">
        <f>"女"</f>
        <v>女</v>
      </c>
      <c r="H144" s="8"/>
    </row>
    <row r="145" spans="1:8" ht="34.5" customHeight="1">
      <c r="A145" s="8">
        <v>142</v>
      </c>
      <c r="B145" s="9" t="str">
        <f>"651720240604120525128097"</f>
        <v>651720240604120525128097</v>
      </c>
      <c r="C145" s="9" t="s">
        <v>10</v>
      </c>
      <c r="D145" s="9" t="s">
        <v>18</v>
      </c>
      <c r="E145" s="9" t="str">
        <f t="shared" si="10"/>
        <v>240107</v>
      </c>
      <c r="F145" s="9" t="str">
        <f>"罗留洋"</f>
        <v>罗留洋</v>
      </c>
      <c r="G145" s="9" t="str">
        <f>"男"</f>
        <v>男</v>
      </c>
      <c r="H145" s="8"/>
    </row>
    <row r="146" spans="1:8" ht="34.5" customHeight="1">
      <c r="A146" s="8">
        <v>143</v>
      </c>
      <c r="B146" s="9" t="str">
        <f>"651720240604120903128113"</f>
        <v>651720240604120903128113</v>
      </c>
      <c r="C146" s="9" t="s">
        <v>10</v>
      </c>
      <c r="D146" s="9" t="s">
        <v>18</v>
      </c>
      <c r="E146" s="9" t="str">
        <f t="shared" si="10"/>
        <v>240107</v>
      </c>
      <c r="F146" s="9" t="str">
        <f>"巫家源"</f>
        <v>巫家源</v>
      </c>
      <c r="G146" s="9" t="str">
        <f>"男"</f>
        <v>男</v>
      </c>
      <c r="H146" s="8"/>
    </row>
    <row r="147" spans="1:8" ht="34.5" customHeight="1">
      <c r="A147" s="8">
        <v>144</v>
      </c>
      <c r="B147" s="9" t="str">
        <f>"651720240604184850130927"</f>
        <v>651720240604184850130927</v>
      </c>
      <c r="C147" s="9" t="s">
        <v>10</v>
      </c>
      <c r="D147" s="9" t="s">
        <v>18</v>
      </c>
      <c r="E147" s="9" t="str">
        <f t="shared" si="10"/>
        <v>240107</v>
      </c>
      <c r="F147" s="9" t="str">
        <f>"王文"</f>
        <v>王文</v>
      </c>
      <c r="G147" s="9" t="str">
        <f>"女"</f>
        <v>女</v>
      </c>
      <c r="H147" s="8"/>
    </row>
    <row r="148" spans="1:8" ht="34.5" customHeight="1">
      <c r="A148" s="8">
        <v>145</v>
      </c>
      <c r="B148" s="9" t="str">
        <f>"651720240602183759115680"</f>
        <v>651720240602183759115680</v>
      </c>
      <c r="C148" s="9" t="s">
        <v>10</v>
      </c>
      <c r="D148" s="9" t="s">
        <v>18</v>
      </c>
      <c r="E148" s="9" t="str">
        <f t="shared" si="10"/>
        <v>240107</v>
      </c>
      <c r="F148" s="9" t="str">
        <f>"王康胜"</f>
        <v>王康胜</v>
      </c>
      <c r="G148" s="9" t="str">
        <f>"男"</f>
        <v>男</v>
      </c>
      <c r="H148" s="8"/>
    </row>
    <row r="149" spans="1:8" ht="34.5" customHeight="1">
      <c r="A149" s="8">
        <v>146</v>
      </c>
      <c r="B149" s="9" t="str">
        <f>"651720240605003244132593"</f>
        <v>651720240605003244132593</v>
      </c>
      <c r="C149" s="9" t="s">
        <v>10</v>
      </c>
      <c r="D149" s="9" t="s">
        <v>18</v>
      </c>
      <c r="E149" s="9" t="str">
        <f t="shared" si="10"/>
        <v>240107</v>
      </c>
      <c r="F149" s="9" t="str">
        <f>"吴位宁"</f>
        <v>吴位宁</v>
      </c>
      <c r="G149" s="9" t="str">
        <f>"男"</f>
        <v>男</v>
      </c>
      <c r="H149" s="8"/>
    </row>
    <row r="150" spans="1:8" ht="34.5" customHeight="1">
      <c r="A150" s="8">
        <v>147</v>
      </c>
      <c r="B150" s="9" t="str">
        <f>"65172024052619184978195"</f>
        <v>65172024052619184978195</v>
      </c>
      <c r="C150" s="9" t="s">
        <v>10</v>
      </c>
      <c r="D150" s="9" t="s">
        <v>18</v>
      </c>
      <c r="E150" s="9" t="str">
        <f t="shared" si="10"/>
        <v>240107</v>
      </c>
      <c r="F150" s="9" t="str">
        <f>"李思"</f>
        <v>李思</v>
      </c>
      <c r="G150" s="9" t="str">
        <f>"女"</f>
        <v>女</v>
      </c>
      <c r="H150" s="8"/>
    </row>
    <row r="151" spans="1:8" ht="34.5" customHeight="1">
      <c r="A151" s="8">
        <v>148</v>
      </c>
      <c r="B151" s="9" t="str">
        <f>"65172024052511041276397"</f>
        <v>65172024052511041276397</v>
      </c>
      <c r="C151" s="9" t="s">
        <v>10</v>
      </c>
      <c r="D151" s="9" t="s">
        <v>18</v>
      </c>
      <c r="E151" s="9" t="str">
        <f t="shared" si="10"/>
        <v>240107</v>
      </c>
      <c r="F151" s="9" t="str">
        <f>"王维哲"</f>
        <v>王维哲</v>
      </c>
      <c r="G151" s="9" t="str">
        <f>"男"</f>
        <v>男</v>
      </c>
      <c r="H151" s="8"/>
    </row>
    <row r="152" spans="1:8" ht="34.5" customHeight="1">
      <c r="A152" s="8">
        <v>149</v>
      </c>
      <c r="B152" s="9" t="str">
        <f>"651720240604164122130201"</f>
        <v>651720240604164122130201</v>
      </c>
      <c r="C152" s="9" t="s">
        <v>10</v>
      </c>
      <c r="D152" s="9" t="s">
        <v>18</v>
      </c>
      <c r="E152" s="9" t="str">
        <f t="shared" si="10"/>
        <v>240107</v>
      </c>
      <c r="F152" s="9" t="str">
        <f>"吴建磊"</f>
        <v>吴建磊</v>
      </c>
      <c r="G152" s="9" t="str">
        <f>"男"</f>
        <v>男</v>
      </c>
      <c r="H152" s="8"/>
    </row>
    <row r="153" spans="1:8" ht="34.5" customHeight="1">
      <c r="A153" s="8">
        <v>150</v>
      </c>
      <c r="B153" s="9" t="str">
        <f>"65172024052412441774853"</f>
        <v>65172024052412441774853</v>
      </c>
      <c r="C153" s="9" t="s">
        <v>10</v>
      </c>
      <c r="D153" s="9" t="s">
        <v>19</v>
      </c>
      <c r="E153" s="9" t="str">
        <f aca="true" t="shared" si="11" ref="E153:E171">"240108"</f>
        <v>240108</v>
      </c>
      <c r="F153" s="9" t="str">
        <f>"郭玲"</f>
        <v>郭玲</v>
      </c>
      <c r="G153" s="9" t="str">
        <f>"女"</f>
        <v>女</v>
      </c>
      <c r="H153" s="8"/>
    </row>
    <row r="154" spans="1:8" ht="34.5" customHeight="1">
      <c r="A154" s="8">
        <v>151</v>
      </c>
      <c r="B154" s="9" t="str">
        <f>"65172024052610505577519"</f>
        <v>65172024052610505577519</v>
      </c>
      <c r="C154" s="9" t="s">
        <v>10</v>
      </c>
      <c r="D154" s="9" t="s">
        <v>19</v>
      </c>
      <c r="E154" s="9" t="str">
        <f t="shared" si="11"/>
        <v>240108</v>
      </c>
      <c r="F154" s="9" t="str">
        <f>"杜卡婷"</f>
        <v>杜卡婷</v>
      </c>
      <c r="G154" s="9" t="str">
        <f>"女"</f>
        <v>女</v>
      </c>
      <c r="H154" s="8"/>
    </row>
    <row r="155" spans="1:8" ht="34.5" customHeight="1">
      <c r="A155" s="8">
        <v>152</v>
      </c>
      <c r="B155" s="9" t="str">
        <f>"65172024052415325275348"</f>
        <v>65172024052415325275348</v>
      </c>
      <c r="C155" s="9" t="s">
        <v>10</v>
      </c>
      <c r="D155" s="9" t="s">
        <v>19</v>
      </c>
      <c r="E155" s="9" t="str">
        <f t="shared" si="11"/>
        <v>240108</v>
      </c>
      <c r="F155" s="9" t="str">
        <f>"张海梅"</f>
        <v>张海梅</v>
      </c>
      <c r="G155" s="9" t="str">
        <f>"女"</f>
        <v>女</v>
      </c>
      <c r="H155" s="8"/>
    </row>
    <row r="156" spans="1:8" ht="34.5" customHeight="1">
      <c r="A156" s="8">
        <v>153</v>
      </c>
      <c r="B156" s="9" t="str">
        <f>"65172024052716313481529"</f>
        <v>65172024052716313481529</v>
      </c>
      <c r="C156" s="9" t="s">
        <v>10</v>
      </c>
      <c r="D156" s="9" t="s">
        <v>19</v>
      </c>
      <c r="E156" s="9" t="str">
        <f t="shared" si="11"/>
        <v>240108</v>
      </c>
      <c r="F156" s="9" t="str">
        <f>"王欣楠"</f>
        <v>王欣楠</v>
      </c>
      <c r="G156" s="9" t="str">
        <f>"女"</f>
        <v>女</v>
      </c>
      <c r="H156" s="8"/>
    </row>
    <row r="157" spans="1:8" ht="34.5" customHeight="1">
      <c r="A157" s="8">
        <v>154</v>
      </c>
      <c r="B157" s="9" t="str">
        <f>"65172024052719133382040"</f>
        <v>65172024052719133382040</v>
      </c>
      <c r="C157" s="9" t="s">
        <v>10</v>
      </c>
      <c r="D157" s="9" t="s">
        <v>19</v>
      </c>
      <c r="E157" s="9" t="str">
        <f t="shared" si="11"/>
        <v>240108</v>
      </c>
      <c r="F157" s="9" t="str">
        <f>"林萍丽"</f>
        <v>林萍丽</v>
      </c>
      <c r="G157" s="9" t="str">
        <f>"女"</f>
        <v>女</v>
      </c>
      <c r="H157" s="8"/>
    </row>
    <row r="158" spans="1:8" ht="34.5" customHeight="1">
      <c r="A158" s="8">
        <v>155</v>
      </c>
      <c r="B158" s="9" t="str">
        <f>"65172024052621392178412"</f>
        <v>65172024052621392178412</v>
      </c>
      <c r="C158" s="9" t="s">
        <v>10</v>
      </c>
      <c r="D158" s="9" t="s">
        <v>19</v>
      </c>
      <c r="E158" s="9" t="str">
        <f t="shared" si="11"/>
        <v>240108</v>
      </c>
      <c r="F158" s="9" t="str">
        <f>"雷昌超"</f>
        <v>雷昌超</v>
      </c>
      <c r="G158" s="9" t="str">
        <f>"男"</f>
        <v>男</v>
      </c>
      <c r="H158" s="8"/>
    </row>
    <row r="159" spans="1:8" ht="34.5" customHeight="1">
      <c r="A159" s="8">
        <v>156</v>
      </c>
      <c r="B159" s="9" t="str">
        <f>"65172024053012564095031"</f>
        <v>65172024053012564095031</v>
      </c>
      <c r="C159" s="9" t="s">
        <v>10</v>
      </c>
      <c r="D159" s="9" t="s">
        <v>19</v>
      </c>
      <c r="E159" s="9" t="str">
        <f t="shared" si="11"/>
        <v>240108</v>
      </c>
      <c r="F159" s="9" t="str">
        <f>"张泽茹"</f>
        <v>张泽茹</v>
      </c>
      <c r="G159" s="9" t="str">
        <f>"女"</f>
        <v>女</v>
      </c>
      <c r="H159" s="8"/>
    </row>
    <row r="160" spans="1:8" ht="34.5" customHeight="1">
      <c r="A160" s="8">
        <v>157</v>
      </c>
      <c r="B160" s="9" t="str">
        <f>"65172024053022254799398"</f>
        <v>65172024053022254799398</v>
      </c>
      <c r="C160" s="9" t="s">
        <v>10</v>
      </c>
      <c r="D160" s="9" t="s">
        <v>19</v>
      </c>
      <c r="E160" s="9" t="str">
        <f t="shared" si="11"/>
        <v>240108</v>
      </c>
      <c r="F160" s="9" t="str">
        <f>"许维"</f>
        <v>许维</v>
      </c>
      <c r="G160" s="9" t="str">
        <f>"男"</f>
        <v>男</v>
      </c>
      <c r="H160" s="8"/>
    </row>
    <row r="161" spans="1:8" ht="34.5" customHeight="1">
      <c r="A161" s="8">
        <v>158</v>
      </c>
      <c r="B161" s="9" t="str">
        <f>"65172024053010243693418"</f>
        <v>65172024053010243693418</v>
      </c>
      <c r="C161" s="9" t="s">
        <v>10</v>
      </c>
      <c r="D161" s="9" t="s">
        <v>19</v>
      </c>
      <c r="E161" s="9" t="str">
        <f t="shared" si="11"/>
        <v>240108</v>
      </c>
      <c r="F161" s="9" t="str">
        <f>"梁又斤"</f>
        <v>梁又斤</v>
      </c>
      <c r="G161" s="9" t="str">
        <f aca="true" t="shared" si="12" ref="G161:G172">"女"</f>
        <v>女</v>
      </c>
      <c r="H161" s="8"/>
    </row>
    <row r="162" spans="1:8" ht="34.5" customHeight="1">
      <c r="A162" s="8">
        <v>159</v>
      </c>
      <c r="B162" s="9" t="str">
        <f>"65172024052821032485738"</f>
        <v>65172024052821032485738</v>
      </c>
      <c r="C162" s="9" t="s">
        <v>10</v>
      </c>
      <c r="D162" s="9" t="s">
        <v>19</v>
      </c>
      <c r="E162" s="9" t="str">
        <f t="shared" si="11"/>
        <v>240108</v>
      </c>
      <c r="F162" s="9" t="str">
        <f>"顾晓芸"</f>
        <v>顾晓芸</v>
      </c>
      <c r="G162" s="9" t="str">
        <f t="shared" si="12"/>
        <v>女</v>
      </c>
      <c r="H162" s="8"/>
    </row>
    <row r="163" spans="1:8" ht="34.5" customHeight="1">
      <c r="A163" s="8">
        <v>160</v>
      </c>
      <c r="B163" s="9" t="str">
        <f>"651720240602204002116260"</f>
        <v>651720240602204002116260</v>
      </c>
      <c r="C163" s="9" t="s">
        <v>10</v>
      </c>
      <c r="D163" s="9" t="s">
        <v>19</v>
      </c>
      <c r="E163" s="9" t="str">
        <f t="shared" si="11"/>
        <v>240108</v>
      </c>
      <c r="F163" s="9" t="str">
        <f>"黎芮如"</f>
        <v>黎芮如</v>
      </c>
      <c r="G163" s="9" t="str">
        <f t="shared" si="12"/>
        <v>女</v>
      </c>
      <c r="H163" s="8"/>
    </row>
    <row r="164" spans="1:8" ht="34.5" customHeight="1">
      <c r="A164" s="8">
        <v>161</v>
      </c>
      <c r="B164" s="9" t="str">
        <f>"651720240603205518125055"</f>
        <v>651720240603205518125055</v>
      </c>
      <c r="C164" s="9" t="s">
        <v>10</v>
      </c>
      <c r="D164" s="9" t="s">
        <v>19</v>
      </c>
      <c r="E164" s="9" t="str">
        <f t="shared" si="11"/>
        <v>240108</v>
      </c>
      <c r="F164" s="9" t="str">
        <f>"陈壮丹"</f>
        <v>陈壮丹</v>
      </c>
      <c r="G164" s="9" t="str">
        <f t="shared" si="12"/>
        <v>女</v>
      </c>
      <c r="H164" s="8"/>
    </row>
    <row r="165" spans="1:8" ht="34.5" customHeight="1">
      <c r="A165" s="8">
        <v>162</v>
      </c>
      <c r="B165" s="9" t="str">
        <f>"651720240604102544127183"</f>
        <v>651720240604102544127183</v>
      </c>
      <c r="C165" s="9" t="s">
        <v>10</v>
      </c>
      <c r="D165" s="9" t="s">
        <v>19</v>
      </c>
      <c r="E165" s="9" t="str">
        <f t="shared" si="11"/>
        <v>240108</v>
      </c>
      <c r="F165" s="9" t="str">
        <f>"陈克鸥"</f>
        <v>陈克鸥</v>
      </c>
      <c r="G165" s="9" t="str">
        <f t="shared" si="12"/>
        <v>女</v>
      </c>
      <c r="H165" s="8"/>
    </row>
    <row r="166" spans="1:8" ht="34.5" customHeight="1">
      <c r="A166" s="8">
        <v>163</v>
      </c>
      <c r="B166" s="9" t="str">
        <f>"651720240604102433127174"</f>
        <v>651720240604102433127174</v>
      </c>
      <c r="C166" s="9" t="s">
        <v>10</v>
      </c>
      <c r="D166" s="9" t="s">
        <v>19</v>
      </c>
      <c r="E166" s="9" t="str">
        <f t="shared" si="11"/>
        <v>240108</v>
      </c>
      <c r="F166" s="9" t="str">
        <f>"胡颂萱"</f>
        <v>胡颂萱</v>
      </c>
      <c r="G166" s="9" t="str">
        <f t="shared" si="12"/>
        <v>女</v>
      </c>
      <c r="H166" s="8"/>
    </row>
    <row r="167" spans="1:8" ht="34.5" customHeight="1">
      <c r="A167" s="8">
        <v>164</v>
      </c>
      <c r="B167" s="9" t="str">
        <f>"65172024053023503699778"</f>
        <v>65172024053023503699778</v>
      </c>
      <c r="C167" s="9" t="s">
        <v>10</v>
      </c>
      <c r="D167" s="9" t="s">
        <v>19</v>
      </c>
      <c r="E167" s="9" t="str">
        <f t="shared" si="11"/>
        <v>240108</v>
      </c>
      <c r="F167" s="9" t="str">
        <f>"李燕"</f>
        <v>李燕</v>
      </c>
      <c r="G167" s="9" t="str">
        <f t="shared" si="12"/>
        <v>女</v>
      </c>
      <c r="H167" s="8"/>
    </row>
    <row r="168" spans="1:8" ht="34.5" customHeight="1">
      <c r="A168" s="8">
        <v>165</v>
      </c>
      <c r="B168" s="9" t="str">
        <f>"651720240603170757124026"</f>
        <v>651720240603170757124026</v>
      </c>
      <c r="C168" s="9" t="s">
        <v>10</v>
      </c>
      <c r="D168" s="9" t="s">
        <v>19</v>
      </c>
      <c r="E168" s="9" t="str">
        <f t="shared" si="11"/>
        <v>240108</v>
      </c>
      <c r="F168" s="9" t="str">
        <f>"刘亚芬"</f>
        <v>刘亚芬</v>
      </c>
      <c r="G168" s="9" t="str">
        <f t="shared" si="12"/>
        <v>女</v>
      </c>
      <c r="H168" s="8"/>
    </row>
    <row r="169" spans="1:8" ht="34.5" customHeight="1">
      <c r="A169" s="8">
        <v>166</v>
      </c>
      <c r="B169" s="9" t="str">
        <f>"65172024052521405177138"</f>
        <v>65172024052521405177138</v>
      </c>
      <c r="C169" s="9" t="s">
        <v>10</v>
      </c>
      <c r="D169" s="9" t="s">
        <v>19</v>
      </c>
      <c r="E169" s="9" t="str">
        <f t="shared" si="11"/>
        <v>240108</v>
      </c>
      <c r="F169" s="9" t="str">
        <f>"符志婧"</f>
        <v>符志婧</v>
      </c>
      <c r="G169" s="9" t="str">
        <f t="shared" si="12"/>
        <v>女</v>
      </c>
      <c r="H169" s="8"/>
    </row>
    <row r="170" spans="1:8" ht="34.5" customHeight="1">
      <c r="A170" s="8">
        <v>167</v>
      </c>
      <c r="B170" s="9" t="str">
        <f>"651720240605103932133595"</f>
        <v>651720240605103932133595</v>
      </c>
      <c r="C170" s="9" t="s">
        <v>10</v>
      </c>
      <c r="D170" s="9" t="s">
        <v>19</v>
      </c>
      <c r="E170" s="9" t="str">
        <f t="shared" si="11"/>
        <v>240108</v>
      </c>
      <c r="F170" s="9" t="str">
        <f>"卢雪思"</f>
        <v>卢雪思</v>
      </c>
      <c r="G170" s="9" t="str">
        <f t="shared" si="12"/>
        <v>女</v>
      </c>
      <c r="H170" s="8"/>
    </row>
    <row r="171" spans="1:8" ht="34.5" customHeight="1">
      <c r="A171" s="8">
        <v>168</v>
      </c>
      <c r="B171" s="9" t="str">
        <f>"651720240605140547136754"</f>
        <v>651720240605140547136754</v>
      </c>
      <c r="C171" s="9" t="s">
        <v>10</v>
      </c>
      <c r="D171" s="9" t="s">
        <v>19</v>
      </c>
      <c r="E171" s="9" t="str">
        <f t="shared" si="11"/>
        <v>240108</v>
      </c>
      <c r="F171" s="9" t="str">
        <f>"林思阳"</f>
        <v>林思阳</v>
      </c>
      <c r="G171" s="9" t="str">
        <f t="shared" si="12"/>
        <v>女</v>
      </c>
      <c r="H171" s="8"/>
    </row>
    <row r="172" spans="1:8" ht="34.5" customHeight="1">
      <c r="A172" s="8">
        <v>169</v>
      </c>
      <c r="B172" s="9" t="str">
        <f>"65172024052410431674442"</f>
        <v>65172024052410431674442</v>
      </c>
      <c r="C172" s="9" t="s">
        <v>10</v>
      </c>
      <c r="D172" s="9" t="s">
        <v>20</v>
      </c>
      <c r="E172" s="9" t="str">
        <f aca="true" t="shared" si="13" ref="E172:E177">"240109"</f>
        <v>240109</v>
      </c>
      <c r="F172" s="9" t="str">
        <f>"李向雪"</f>
        <v>李向雪</v>
      </c>
      <c r="G172" s="9" t="str">
        <f t="shared" si="12"/>
        <v>女</v>
      </c>
      <c r="H172" s="8"/>
    </row>
    <row r="173" spans="1:8" ht="34.5" customHeight="1">
      <c r="A173" s="8">
        <v>170</v>
      </c>
      <c r="B173" s="9" t="str">
        <f>"65172024052822405685965"</f>
        <v>65172024052822405685965</v>
      </c>
      <c r="C173" s="9" t="s">
        <v>10</v>
      </c>
      <c r="D173" s="9" t="s">
        <v>20</v>
      </c>
      <c r="E173" s="9" t="str">
        <f t="shared" si="13"/>
        <v>240109</v>
      </c>
      <c r="F173" s="9" t="str">
        <f>"吉奕霖 "</f>
        <v>吉奕霖 </v>
      </c>
      <c r="G173" s="9" t="str">
        <f>"男"</f>
        <v>男</v>
      </c>
      <c r="H173" s="8"/>
    </row>
    <row r="174" spans="1:8" ht="34.5" customHeight="1">
      <c r="A174" s="8">
        <v>171</v>
      </c>
      <c r="B174" s="9" t="str">
        <f>"65172024052918244489243"</f>
        <v>65172024052918244489243</v>
      </c>
      <c r="C174" s="9" t="s">
        <v>10</v>
      </c>
      <c r="D174" s="9" t="s">
        <v>20</v>
      </c>
      <c r="E174" s="9" t="str">
        <f t="shared" si="13"/>
        <v>240109</v>
      </c>
      <c r="F174" s="9" t="str">
        <f>"陈巧媚"</f>
        <v>陈巧媚</v>
      </c>
      <c r="G174" s="9" t="str">
        <f aca="true" t="shared" si="14" ref="G174:G187">"女"</f>
        <v>女</v>
      </c>
      <c r="H174" s="8"/>
    </row>
    <row r="175" spans="1:8" ht="34.5" customHeight="1">
      <c r="A175" s="8">
        <v>172</v>
      </c>
      <c r="B175" s="9" t="str">
        <f>"651720240604191258131036"</f>
        <v>651720240604191258131036</v>
      </c>
      <c r="C175" s="9" t="s">
        <v>10</v>
      </c>
      <c r="D175" s="9" t="s">
        <v>20</v>
      </c>
      <c r="E175" s="9" t="str">
        <f t="shared" si="13"/>
        <v>240109</v>
      </c>
      <c r="F175" s="9" t="str">
        <f>"蔡茜茜"</f>
        <v>蔡茜茜</v>
      </c>
      <c r="G175" s="9" t="str">
        <f t="shared" si="14"/>
        <v>女</v>
      </c>
      <c r="H175" s="8"/>
    </row>
    <row r="176" spans="1:8" ht="34.5" customHeight="1">
      <c r="A176" s="8">
        <v>173</v>
      </c>
      <c r="B176" s="9" t="str">
        <f>"651720240603160755123342"</f>
        <v>651720240603160755123342</v>
      </c>
      <c r="C176" s="9" t="s">
        <v>10</v>
      </c>
      <c r="D176" s="9" t="s">
        <v>20</v>
      </c>
      <c r="E176" s="9" t="str">
        <f t="shared" si="13"/>
        <v>240109</v>
      </c>
      <c r="F176" s="9" t="str">
        <f>"梁倩倩"</f>
        <v>梁倩倩</v>
      </c>
      <c r="G176" s="9" t="str">
        <f t="shared" si="14"/>
        <v>女</v>
      </c>
      <c r="H176" s="8"/>
    </row>
    <row r="177" spans="1:8" ht="34.5" customHeight="1">
      <c r="A177" s="8">
        <v>174</v>
      </c>
      <c r="B177" s="9" t="str">
        <f>"651720240605103102133533"</f>
        <v>651720240605103102133533</v>
      </c>
      <c r="C177" s="9" t="s">
        <v>10</v>
      </c>
      <c r="D177" s="9" t="s">
        <v>20</v>
      </c>
      <c r="E177" s="9" t="str">
        <f t="shared" si="13"/>
        <v>240109</v>
      </c>
      <c r="F177" s="9" t="str">
        <f>" 赵雯"</f>
        <v> 赵雯</v>
      </c>
      <c r="G177" s="9" t="str">
        <f t="shared" si="14"/>
        <v>女</v>
      </c>
      <c r="H177" s="8"/>
    </row>
    <row r="178" spans="1:8" ht="34.5" customHeight="1">
      <c r="A178" s="8">
        <v>175</v>
      </c>
      <c r="B178" s="9" t="str">
        <f>"65172024052919092389613"</f>
        <v>65172024052919092389613</v>
      </c>
      <c r="C178" s="9" t="s">
        <v>21</v>
      </c>
      <c r="D178" s="9" t="s">
        <v>15</v>
      </c>
      <c r="E178" s="9" t="str">
        <f aca="true" t="shared" si="15" ref="E178:E183">"240201"</f>
        <v>240201</v>
      </c>
      <c r="F178" s="9" t="str">
        <f>"叶学雪"</f>
        <v>叶学雪</v>
      </c>
      <c r="G178" s="9" t="str">
        <f t="shared" si="14"/>
        <v>女</v>
      </c>
      <c r="H178" s="8"/>
    </row>
    <row r="179" spans="1:8" ht="34.5" customHeight="1">
      <c r="A179" s="8">
        <v>176</v>
      </c>
      <c r="B179" s="9" t="str">
        <f>"65172024052920231390119"</f>
        <v>65172024052920231390119</v>
      </c>
      <c r="C179" s="9" t="s">
        <v>21</v>
      </c>
      <c r="D179" s="9" t="s">
        <v>15</v>
      </c>
      <c r="E179" s="9" t="str">
        <f t="shared" si="15"/>
        <v>240201</v>
      </c>
      <c r="F179" s="9" t="str">
        <f>"许春绚"</f>
        <v>许春绚</v>
      </c>
      <c r="G179" s="9" t="str">
        <f t="shared" si="14"/>
        <v>女</v>
      </c>
      <c r="H179" s="8"/>
    </row>
    <row r="180" spans="1:8" ht="34.5" customHeight="1">
      <c r="A180" s="8">
        <v>177</v>
      </c>
      <c r="B180" s="9" t="str">
        <f>"65172024053012041494613"</f>
        <v>65172024053012041494613</v>
      </c>
      <c r="C180" s="9" t="s">
        <v>21</v>
      </c>
      <c r="D180" s="9" t="s">
        <v>15</v>
      </c>
      <c r="E180" s="9" t="str">
        <f t="shared" si="15"/>
        <v>240201</v>
      </c>
      <c r="F180" s="9" t="str">
        <f>"邝文蔚"</f>
        <v>邝文蔚</v>
      </c>
      <c r="G180" s="9" t="str">
        <f t="shared" si="14"/>
        <v>女</v>
      </c>
      <c r="H180" s="8"/>
    </row>
    <row r="181" spans="1:8" ht="34.5" customHeight="1">
      <c r="A181" s="8">
        <v>178</v>
      </c>
      <c r="B181" s="9" t="str">
        <f>"651720240603203833124963"</f>
        <v>651720240603203833124963</v>
      </c>
      <c r="C181" s="9" t="s">
        <v>21</v>
      </c>
      <c r="D181" s="9" t="s">
        <v>15</v>
      </c>
      <c r="E181" s="9" t="str">
        <f t="shared" si="15"/>
        <v>240201</v>
      </c>
      <c r="F181" s="9" t="str">
        <f>"黄烨坤"</f>
        <v>黄烨坤</v>
      </c>
      <c r="G181" s="9" t="str">
        <f t="shared" si="14"/>
        <v>女</v>
      </c>
      <c r="H181" s="8"/>
    </row>
    <row r="182" spans="1:8" ht="34.5" customHeight="1">
      <c r="A182" s="8">
        <v>179</v>
      </c>
      <c r="B182" s="9" t="str">
        <f>"65172024052713011880600"</f>
        <v>65172024052713011880600</v>
      </c>
      <c r="C182" s="9" t="s">
        <v>21</v>
      </c>
      <c r="D182" s="9" t="s">
        <v>15</v>
      </c>
      <c r="E182" s="9" t="str">
        <f t="shared" si="15"/>
        <v>240201</v>
      </c>
      <c r="F182" s="9" t="str">
        <f>"王海棠"</f>
        <v>王海棠</v>
      </c>
      <c r="G182" s="9" t="str">
        <f t="shared" si="14"/>
        <v>女</v>
      </c>
      <c r="H182" s="8"/>
    </row>
    <row r="183" spans="1:8" ht="34.5" customHeight="1">
      <c r="A183" s="8">
        <v>180</v>
      </c>
      <c r="B183" s="9" t="str">
        <f>"651720240605195151140549"</f>
        <v>651720240605195151140549</v>
      </c>
      <c r="C183" s="9" t="s">
        <v>21</v>
      </c>
      <c r="D183" s="9" t="s">
        <v>15</v>
      </c>
      <c r="E183" s="9" t="str">
        <f t="shared" si="15"/>
        <v>240201</v>
      </c>
      <c r="F183" s="9" t="str">
        <f>"杨振宇"</f>
        <v>杨振宇</v>
      </c>
      <c r="G183" s="9" t="str">
        <f t="shared" si="14"/>
        <v>女</v>
      </c>
      <c r="H183" s="8"/>
    </row>
    <row r="184" spans="1:8" ht="34.5" customHeight="1">
      <c r="A184" s="8">
        <v>181</v>
      </c>
      <c r="B184" s="9" t="str">
        <f>"65172024052713122180641"</f>
        <v>65172024052713122180641</v>
      </c>
      <c r="C184" s="9" t="s">
        <v>21</v>
      </c>
      <c r="D184" s="9" t="s">
        <v>16</v>
      </c>
      <c r="E184" s="9" t="str">
        <f>"240202"</f>
        <v>240202</v>
      </c>
      <c r="F184" s="9" t="str">
        <f>"张雪怡"</f>
        <v>张雪怡</v>
      </c>
      <c r="G184" s="9" t="str">
        <f t="shared" si="14"/>
        <v>女</v>
      </c>
      <c r="H184" s="8"/>
    </row>
    <row r="185" spans="1:8" ht="34.5" customHeight="1">
      <c r="A185" s="8">
        <v>182</v>
      </c>
      <c r="B185" s="9" t="str">
        <f>"65172024052623143178593"</f>
        <v>65172024052623143178593</v>
      </c>
      <c r="C185" s="9" t="s">
        <v>21</v>
      </c>
      <c r="D185" s="9" t="s">
        <v>16</v>
      </c>
      <c r="E185" s="9" t="str">
        <f>"240202"</f>
        <v>240202</v>
      </c>
      <c r="F185" s="9" t="str">
        <f>"邓明珠"</f>
        <v>邓明珠</v>
      </c>
      <c r="G185" s="9" t="str">
        <f t="shared" si="14"/>
        <v>女</v>
      </c>
      <c r="H185" s="8"/>
    </row>
    <row r="186" spans="1:8" ht="34.5" customHeight="1">
      <c r="A186" s="8">
        <v>183</v>
      </c>
      <c r="B186" s="9" t="str">
        <f>"65172024052413204074941"</f>
        <v>65172024052413204074941</v>
      </c>
      <c r="C186" s="9" t="s">
        <v>21</v>
      </c>
      <c r="D186" s="9" t="s">
        <v>16</v>
      </c>
      <c r="E186" s="9" t="str">
        <f>"240202"</f>
        <v>240202</v>
      </c>
      <c r="F186" s="9" t="str">
        <f>"李小厦"</f>
        <v>李小厦</v>
      </c>
      <c r="G186" s="9" t="str">
        <f t="shared" si="14"/>
        <v>女</v>
      </c>
      <c r="H186" s="8"/>
    </row>
    <row r="187" spans="1:8" ht="34.5" customHeight="1">
      <c r="A187" s="8">
        <v>184</v>
      </c>
      <c r="B187" s="9" t="str">
        <f>"651720240603175332124282"</f>
        <v>651720240603175332124282</v>
      </c>
      <c r="C187" s="9" t="s">
        <v>21</v>
      </c>
      <c r="D187" s="9" t="s">
        <v>16</v>
      </c>
      <c r="E187" s="9" t="str">
        <f>"240202"</f>
        <v>240202</v>
      </c>
      <c r="F187" s="9" t="str">
        <f>"方雅珉"</f>
        <v>方雅珉</v>
      </c>
      <c r="G187" s="9" t="str">
        <f t="shared" si="14"/>
        <v>女</v>
      </c>
      <c r="H187" s="8"/>
    </row>
    <row r="188" spans="1:8" ht="34.5" customHeight="1">
      <c r="A188" s="8">
        <v>185</v>
      </c>
      <c r="B188" s="9" t="str">
        <f>"65172024052413264974953"</f>
        <v>65172024052413264974953</v>
      </c>
      <c r="C188" s="9" t="s">
        <v>21</v>
      </c>
      <c r="D188" s="9" t="s">
        <v>22</v>
      </c>
      <c r="E188" s="9" t="str">
        <f aca="true" t="shared" si="16" ref="E188:E201">"240203"</f>
        <v>240203</v>
      </c>
      <c r="F188" s="9" t="str">
        <f>"裴星智"</f>
        <v>裴星智</v>
      </c>
      <c r="G188" s="9" t="str">
        <f>"男"</f>
        <v>男</v>
      </c>
      <c r="H188" s="8"/>
    </row>
    <row r="189" spans="1:8" ht="34.5" customHeight="1">
      <c r="A189" s="8">
        <v>186</v>
      </c>
      <c r="B189" s="9" t="str">
        <f>"65172024052409403274182"</f>
        <v>65172024052409403274182</v>
      </c>
      <c r="C189" s="9" t="s">
        <v>21</v>
      </c>
      <c r="D189" s="9" t="s">
        <v>22</v>
      </c>
      <c r="E189" s="9" t="str">
        <f t="shared" si="16"/>
        <v>240203</v>
      </c>
      <c r="F189" s="9" t="str">
        <f>"周秀伞"</f>
        <v>周秀伞</v>
      </c>
      <c r="G189" s="9" t="str">
        <f>"女"</f>
        <v>女</v>
      </c>
      <c r="H189" s="8"/>
    </row>
    <row r="190" spans="1:8" ht="34.5" customHeight="1">
      <c r="A190" s="8">
        <v>187</v>
      </c>
      <c r="B190" s="9" t="str">
        <f>"65172024052709302679056"</f>
        <v>65172024052709302679056</v>
      </c>
      <c r="C190" s="9" t="s">
        <v>21</v>
      </c>
      <c r="D190" s="9" t="s">
        <v>22</v>
      </c>
      <c r="E190" s="9" t="str">
        <f t="shared" si="16"/>
        <v>240203</v>
      </c>
      <c r="F190" s="9" t="str">
        <f>"于佳卉"</f>
        <v>于佳卉</v>
      </c>
      <c r="G190" s="9" t="str">
        <f>"女"</f>
        <v>女</v>
      </c>
      <c r="H190" s="8"/>
    </row>
    <row r="191" spans="1:8" ht="34.5" customHeight="1">
      <c r="A191" s="8">
        <v>188</v>
      </c>
      <c r="B191" s="9" t="str">
        <f>"65172024052715321481231"</f>
        <v>65172024052715321481231</v>
      </c>
      <c r="C191" s="9" t="s">
        <v>21</v>
      </c>
      <c r="D191" s="9" t="s">
        <v>22</v>
      </c>
      <c r="E191" s="9" t="str">
        <f t="shared" si="16"/>
        <v>240203</v>
      </c>
      <c r="F191" s="9" t="str">
        <f>"冰融"</f>
        <v>冰融</v>
      </c>
      <c r="G191" s="9" t="str">
        <f>"女"</f>
        <v>女</v>
      </c>
      <c r="H191" s="8"/>
    </row>
    <row r="192" spans="1:8" ht="34.5" customHeight="1">
      <c r="A192" s="8">
        <v>189</v>
      </c>
      <c r="B192" s="9" t="str">
        <f>"65172024052717123781711"</f>
        <v>65172024052717123781711</v>
      </c>
      <c r="C192" s="9" t="s">
        <v>21</v>
      </c>
      <c r="D192" s="9" t="s">
        <v>22</v>
      </c>
      <c r="E192" s="9" t="str">
        <f t="shared" si="16"/>
        <v>240203</v>
      </c>
      <c r="F192" s="9" t="str">
        <f>"韦国兵"</f>
        <v>韦国兵</v>
      </c>
      <c r="G192" s="9" t="str">
        <f>"男"</f>
        <v>男</v>
      </c>
      <c r="H192" s="8"/>
    </row>
    <row r="193" spans="1:8" ht="34.5" customHeight="1">
      <c r="A193" s="8">
        <v>190</v>
      </c>
      <c r="B193" s="9" t="str">
        <f>"65172024052811125783329"</f>
        <v>65172024052811125783329</v>
      </c>
      <c r="C193" s="9" t="s">
        <v>21</v>
      </c>
      <c r="D193" s="9" t="s">
        <v>22</v>
      </c>
      <c r="E193" s="9" t="str">
        <f t="shared" si="16"/>
        <v>240203</v>
      </c>
      <c r="F193" s="9" t="str">
        <f>"高婧"</f>
        <v>高婧</v>
      </c>
      <c r="G193" s="9" t="str">
        <f>"女"</f>
        <v>女</v>
      </c>
      <c r="H193" s="8"/>
    </row>
    <row r="194" spans="1:8" ht="34.5" customHeight="1">
      <c r="A194" s="8">
        <v>191</v>
      </c>
      <c r="B194" s="9" t="str">
        <f>"65172024052919332289776"</f>
        <v>65172024052919332289776</v>
      </c>
      <c r="C194" s="9" t="s">
        <v>21</v>
      </c>
      <c r="D194" s="9" t="s">
        <v>22</v>
      </c>
      <c r="E194" s="9" t="str">
        <f t="shared" si="16"/>
        <v>240203</v>
      </c>
      <c r="F194" s="9" t="str">
        <f>"陈必博"</f>
        <v>陈必博</v>
      </c>
      <c r="G194" s="9" t="str">
        <f>"男"</f>
        <v>男</v>
      </c>
      <c r="H194" s="8"/>
    </row>
    <row r="195" spans="1:8" ht="34.5" customHeight="1">
      <c r="A195" s="8">
        <v>192</v>
      </c>
      <c r="B195" s="9" t="str">
        <f>"651720240531205138108341"</f>
        <v>651720240531205138108341</v>
      </c>
      <c r="C195" s="9" t="s">
        <v>21</v>
      </c>
      <c r="D195" s="9" t="s">
        <v>22</v>
      </c>
      <c r="E195" s="9" t="str">
        <f t="shared" si="16"/>
        <v>240203</v>
      </c>
      <c r="F195" s="9" t="str">
        <f>"陈思霖"</f>
        <v>陈思霖</v>
      </c>
      <c r="G195" s="9" t="str">
        <f>"女"</f>
        <v>女</v>
      </c>
      <c r="H195" s="8"/>
    </row>
    <row r="196" spans="1:8" ht="34.5" customHeight="1">
      <c r="A196" s="8">
        <v>193</v>
      </c>
      <c r="B196" s="9" t="str">
        <f>"651720240531153054104458"</f>
        <v>651720240531153054104458</v>
      </c>
      <c r="C196" s="9" t="s">
        <v>21</v>
      </c>
      <c r="D196" s="9" t="s">
        <v>22</v>
      </c>
      <c r="E196" s="9" t="str">
        <f t="shared" si="16"/>
        <v>240203</v>
      </c>
      <c r="F196" s="9" t="str">
        <f>"王玙凡"</f>
        <v>王玙凡</v>
      </c>
      <c r="G196" s="9" t="str">
        <f>"女"</f>
        <v>女</v>
      </c>
      <c r="H196" s="8"/>
    </row>
    <row r="197" spans="1:8" ht="34.5" customHeight="1">
      <c r="A197" s="8">
        <v>194</v>
      </c>
      <c r="B197" s="9" t="str">
        <f>"651720240603141922121942"</f>
        <v>651720240603141922121942</v>
      </c>
      <c r="C197" s="9" t="s">
        <v>21</v>
      </c>
      <c r="D197" s="9" t="s">
        <v>22</v>
      </c>
      <c r="E197" s="9" t="str">
        <f t="shared" si="16"/>
        <v>240203</v>
      </c>
      <c r="F197" s="9" t="str">
        <f>"杨晶"</f>
        <v>杨晶</v>
      </c>
      <c r="G197" s="9" t="str">
        <f>"女"</f>
        <v>女</v>
      </c>
      <c r="H197" s="8"/>
    </row>
    <row r="198" spans="1:8" ht="34.5" customHeight="1">
      <c r="A198" s="8">
        <v>195</v>
      </c>
      <c r="B198" s="9" t="str">
        <f>"651720240602215647116782"</f>
        <v>651720240602215647116782</v>
      </c>
      <c r="C198" s="9" t="s">
        <v>21</v>
      </c>
      <c r="D198" s="9" t="s">
        <v>22</v>
      </c>
      <c r="E198" s="9" t="str">
        <f t="shared" si="16"/>
        <v>240203</v>
      </c>
      <c r="F198" s="9" t="str">
        <f>"李仪"</f>
        <v>李仪</v>
      </c>
      <c r="G198" s="9" t="str">
        <f>"女"</f>
        <v>女</v>
      </c>
      <c r="H198" s="8"/>
    </row>
    <row r="199" spans="1:8" ht="34.5" customHeight="1">
      <c r="A199" s="8">
        <v>196</v>
      </c>
      <c r="B199" s="9" t="str">
        <f>"651720240531151223104304"</f>
        <v>651720240531151223104304</v>
      </c>
      <c r="C199" s="9" t="s">
        <v>21</v>
      </c>
      <c r="D199" s="9" t="s">
        <v>22</v>
      </c>
      <c r="E199" s="9" t="str">
        <f t="shared" si="16"/>
        <v>240203</v>
      </c>
      <c r="F199" s="9" t="str">
        <f>"陈仕俊"</f>
        <v>陈仕俊</v>
      </c>
      <c r="G199" s="9" t="str">
        <f>"男"</f>
        <v>男</v>
      </c>
      <c r="H199" s="8"/>
    </row>
    <row r="200" spans="1:8" ht="34.5" customHeight="1">
      <c r="A200" s="8">
        <v>197</v>
      </c>
      <c r="B200" s="9" t="str">
        <f>"651720240605001737132571"</f>
        <v>651720240605001737132571</v>
      </c>
      <c r="C200" s="9" t="s">
        <v>21</v>
      </c>
      <c r="D200" s="9" t="s">
        <v>22</v>
      </c>
      <c r="E200" s="9" t="str">
        <f t="shared" si="16"/>
        <v>240203</v>
      </c>
      <c r="F200" s="9" t="str">
        <f>"李莉泰"</f>
        <v>李莉泰</v>
      </c>
      <c r="G200" s="9" t="str">
        <f>"女"</f>
        <v>女</v>
      </c>
      <c r="H200" s="8"/>
    </row>
    <row r="201" spans="1:8" ht="34.5" customHeight="1">
      <c r="A201" s="8">
        <v>198</v>
      </c>
      <c r="B201" s="9" t="str">
        <f>"651720240605103120133536"</f>
        <v>651720240605103120133536</v>
      </c>
      <c r="C201" s="9" t="s">
        <v>21</v>
      </c>
      <c r="D201" s="9" t="s">
        <v>22</v>
      </c>
      <c r="E201" s="9" t="str">
        <f t="shared" si="16"/>
        <v>240203</v>
      </c>
      <c r="F201" s="9" t="str">
        <f>"刘求成"</f>
        <v>刘求成</v>
      </c>
      <c r="G201" s="9" t="str">
        <f>"男"</f>
        <v>男</v>
      </c>
      <c r="H201" s="8"/>
    </row>
    <row r="202" spans="1:8" ht="34.5" customHeight="1">
      <c r="A202" s="8">
        <v>199</v>
      </c>
      <c r="B202" s="9" t="str">
        <f>"65172024052808063982880"</f>
        <v>65172024052808063982880</v>
      </c>
      <c r="C202" s="9" t="s">
        <v>21</v>
      </c>
      <c r="D202" s="9" t="s">
        <v>18</v>
      </c>
      <c r="E202" s="9" t="str">
        <f>"240204"</f>
        <v>240204</v>
      </c>
      <c r="F202" s="9" t="str">
        <f>"吴晶晶"</f>
        <v>吴晶晶</v>
      </c>
      <c r="G202" s="9" t="str">
        <f aca="true" t="shared" si="17" ref="G202:G216">"女"</f>
        <v>女</v>
      </c>
      <c r="H202" s="8"/>
    </row>
    <row r="203" spans="1:8" ht="34.5" customHeight="1">
      <c r="A203" s="8">
        <v>200</v>
      </c>
      <c r="B203" s="9" t="str">
        <f>"65172024052414050975033"</f>
        <v>65172024052414050975033</v>
      </c>
      <c r="C203" s="9" t="s">
        <v>23</v>
      </c>
      <c r="D203" s="9" t="s">
        <v>11</v>
      </c>
      <c r="E203" s="9" t="str">
        <f aca="true" t="shared" si="18" ref="E203:E215">"240301"</f>
        <v>240301</v>
      </c>
      <c r="F203" s="9" t="str">
        <f>"莫溶溶"</f>
        <v>莫溶溶</v>
      </c>
      <c r="G203" s="9" t="str">
        <f t="shared" si="17"/>
        <v>女</v>
      </c>
      <c r="H203" s="8"/>
    </row>
    <row r="204" spans="1:8" ht="34.5" customHeight="1">
      <c r="A204" s="8">
        <v>201</v>
      </c>
      <c r="B204" s="9" t="str">
        <f>"65172024052608585877390"</f>
        <v>65172024052608585877390</v>
      </c>
      <c r="C204" s="9" t="s">
        <v>23</v>
      </c>
      <c r="D204" s="9" t="s">
        <v>11</v>
      </c>
      <c r="E204" s="9" t="str">
        <f t="shared" si="18"/>
        <v>240301</v>
      </c>
      <c r="F204" s="9" t="str">
        <f>"杨婧"</f>
        <v>杨婧</v>
      </c>
      <c r="G204" s="9" t="str">
        <f t="shared" si="17"/>
        <v>女</v>
      </c>
      <c r="H204" s="8"/>
    </row>
    <row r="205" spans="1:8" ht="34.5" customHeight="1">
      <c r="A205" s="8">
        <v>202</v>
      </c>
      <c r="B205" s="9" t="str">
        <f>"65172024052513273676571"</f>
        <v>65172024052513273676571</v>
      </c>
      <c r="C205" s="9" t="s">
        <v>23</v>
      </c>
      <c r="D205" s="9" t="s">
        <v>11</v>
      </c>
      <c r="E205" s="9" t="str">
        <f t="shared" si="18"/>
        <v>240301</v>
      </c>
      <c r="F205" s="9" t="str">
        <f>"陈慧"</f>
        <v>陈慧</v>
      </c>
      <c r="G205" s="9" t="str">
        <f t="shared" si="17"/>
        <v>女</v>
      </c>
      <c r="H205" s="8"/>
    </row>
    <row r="206" spans="1:8" ht="34.5" customHeight="1">
      <c r="A206" s="8">
        <v>203</v>
      </c>
      <c r="B206" s="9" t="str">
        <f>"65172024052916022688341"</f>
        <v>65172024052916022688341</v>
      </c>
      <c r="C206" s="9" t="s">
        <v>23</v>
      </c>
      <c r="D206" s="9" t="s">
        <v>11</v>
      </c>
      <c r="E206" s="9" t="str">
        <f t="shared" si="18"/>
        <v>240301</v>
      </c>
      <c r="F206" s="9" t="str">
        <f>"吴佳梦"</f>
        <v>吴佳梦</v>
      </c>
      <c r="G206" s="9" t="str">
        <f t="shared" si="17"/>
        <v>女</v>
      </c>
      <c r="H206" s="8"/>
    </row>
    <row r="207" spans="1:8" ht="34.5" customHeight="1">
      <c r="A207" s="8">
        <v>204</v>
      </c>
      <c r="B207" s="9" t="str">
        <f>"65172024053013592895443"</f>
        <v>65172024053013592895443</v>
      </c>
      <c r="C207" s="9" t="s">
        <v>23</v>
      </c>
      <c r="D207" s="9" t="s">
        <v>11</v>
      </c>
      <c r="E207" s="9" t="str">
        <f t="shared" si="18"/>
        <v>240301</v>
      </c>
      <c r="F207" s="9" t="str">
        <f>"庄慧俏"</f>
        <v>庄慧俏</v>
      </c>
      <c r="G207" s="9" t="str">
        <f t="shared" si="17"/>
        <v>女</v>
      </c>
      <c r="H207" s="8"/>
    </row>
    <row r="208" spans="1:8" ht="34.5" customHeight="1">
      <c r="A208" s="8">
        <v>205</v>
      </c>
      <c r="B208" s="9" t="str">
        <f>"65172024052821042685741"</f>
        <v>65172024052821042685741</v>
      </c>
      <c r="C208" s="9" t="s">
        <v>23</v>
      </c>
      <c r="D208" s="9" t="s">
        <v>11</v>
      </c>
      <c r="E208" s="9" t="str">
        <f t="shared" si="18"/>
        <v>240301</v>
      </c>
      <c r="F208" s="9" t="str">
        <f>"马洪博"</f>
        <v>马洪博</v>
      </c>
      <c r="G208" s="9" t="str">
        <f t="shared" si="17"/>
        <v>女</v>
      </c>
      <c r="H208" s="8"/>
    </row>
    <row r="209" spans="1:8" ht="34.5" customHeight="1">
      <c r="A209" s="8">
        <v>206</v>
      </c>
      <c r="B209" s="9" t="str">
        <f>"651720240602212223116544"</f>
        <v>651720240602212223116544</v>
      </c>
      <c r="C209" s="9" t="s">
        <v>23</v>
      </c>
      <c r="D209" s="9" t="s">
        <v>11</v>
      </c>
      <c r="E209" s="9" t="str">
        <f t="shared" si="18"/>
        <v>240301</v>
      </c>
      <c r="F209" s="9" t="str">
        <f>"羊艳丽"</f>
        <v>羊艳丽</v>
      </c>
      <c r="G209" s="9" t="str">
        <f t="shared" si="17"/>
        <v>女</v>
      </c>
      <c r="H209" s="8"/>
    </row>
    <row r="210" spans="1:8" ht="34.5" customHeight="1">
      <c r="A210" s="8">
        <v>207</v>
      </c>
      <c r="B210" s="9" t="str">
        <f>"65172024053020434598738"</f>
        <v>65172024053020434598738</v>
      </c>
      <c r="C210" s="9" t="s">
        <v>23</v>
      </c>
      <c r="D210" s="9" t="s">
        <v>11</v>
      </c>
      <c r="E210" s="9" t="str">
        <f t="shared" si="18"/>
        <v>240301</v>
      </c>
      <c r="F210" s="9" t="str">
        <f>"王颖颖"</f>
        <v>王颖颖</v>
      </c>
      <c r="G210" s="9" t="str">
        <f t="shared" si="17"/>
        <v>女</v>
      </c>
      <c r="H210" s="8"/>
    </row>
    <row r="211" spans="1:8" ht="34.5" customHeight="1">
      <c r="A211" s="8">
        <v>208</v>
      </c>
      <c r="B211" s="9" t="str">
        <f>"651720240603155808123196"</f>
        <v>651720240603155808123196</v>
      </c>
      <c r="C211" s="9" t="s">
        <v>23</v>
      </c>
      <c r="D211" s="9" t="s">
        <v>11</v>
      </c>
      <c r="E211" s="9" t="str">
        <f t="shared" si="18"/>
        <v>240301</v>
      </c>
      <c r="F211" s="9" t="str">
        <f>"杨嫣盈"</f>
        <v>杨嫣盈</v>
      </c>
      <c r="G211" s="9" t="str">
        <f t="shared" si="17"/>
        <v>女</v>
      </c>
      <c r="H211" s="8"/>
    </row>
    <row r="212" spans="1:8" ht="34.5" customHeight="1">
      <c r="A212" s="8">
        <v>209</v>
      </c>
      <c r="B212" s="9" t="str">
        <f>"65172024052810461883242"</f>
        <v>65172024052810461883242</v>
      </c>
      <c r="C212" s="9" t="s">
        <v>23</v>
      </c>
      <c r="D212" s="9" t="s">
        <v>11</v>
      </c>
      <c r="E212" s="9" t="str">
        <f t="shared" si="18"/>
        <v>240301</v>
      </c>
      <c r="F212" s="9" t="str">
        <f>"周芊芊"</f>
        <v>周芊芊</v>
      </c>
      <c r="G212" s="9" t="str">
        <f t="shared" si="17"/>
        <v>女</v>
      </c>
      <c r="H212" s="8"/>
    </row>
    <row r="213" spans="1:8" ht="34.5" customHeight="1">
      <c r="A213" s="8">
        <v>210</v>
      </c>
      <c r="B213" s="9" t="str">
        <f>"651720240604201507131378"</f>
        <v>651720240604201507131378</v>
      </c>
      <c r="C213" s="9" t="s">
        <v>23</v>
      </c>
      <c r="D213" s="9" t="s">
        <v>11</v>
      </c>
      <c r="E213" s="9" t="str">
        <f t="shared" si="18"/>
        <v>240301</v>
      </c>
      <c r="F213" s="9" t="str">
        <f>"张璇"</f>
        <v>张璇</v>
      </c>
      <c r="G213" s="9" t="str">
        <f t="shared" si="17"/>
        <v>女</v>
      </c>
      <c r="H213" s="8" t="s">
        <v>24</v>
      </c>
    </row>
    <row r="214" spans="1:8" ht="34.5" customHeight="1">
      <c r="A214" s="8">
        <v>211</v>
      </c>
      <c r="B214" s="9" t="str">
        <f>"651720240605034830132656"</f>
        <v>651720240605034830132656</v>
      </c>
      <c r="C214" s="9" t="s">
        <v>23</v>
      </c>
      <c r="D214" s="9" t="s">
        <v>11</v>
      </c>
      <c r="E214" s="9" t="str">
        <f t="shared" si="18"/>
        <v>240301</v>
      </c>
      <c r="F214" s="9" t="str">
        <f>"闫锦彤 "</f>
        <v>闫锦彤 </v>
      </c>
      <c r="G214" s="9" t="str">
        <f t="shared" si="17"/>
        <v>女</v>
      </c>
      <c r="H214" s="8"/>
    </row>
    <row r="215" spans="1:8" ht="34.5" customHeight="1">
      <c r="A215" s="8">
        <v>212</v>
      </c>
      <c r="B215" s="9" t="str">
        <f>"651720240605173534140049"</f>
        <v>651720240605173534140049</v>
      </c>
      <c r="C215" s="9" t="s">
        <v>23</v>
      </c>
      <c r="D215" s="9" t="s">
        <v>11</v>
      </c>
      <c r="E215" s="9" t="str">
        <f t="shared" si="18"/>
        <v>240301</v>
      </c>
      <c r="F215" s="9" t="str">
        <f>"秦嘉欣"</f>
        <v>秦嘉欣</v>
      </c>
      <c r="G215" s="9" t="str">
        <f t="shared" si="17"/>
        <v>女</v>
      </c>
      <c r="H215" s="8"/>
    </row>
    <row r="216" spans="1:8" ht="34.5" customHeight="1">
      <c r="A216" s="8">
        <v>213</v>
      </c>
      <c r="B216" s="9" t="str">
        <f>"65172024052523300577270"</f>
        <v>65172024052523300577270</v>
      </c>
      <c r="C216" s="9" t="s">
        <v>23</v>
      </c>
      <c r="D216" s="9" t="s">
        <v>12</v>
      </c>
      <c r="E216" s="9" t="str">
        <f aca="true" t="shared" si="19" ref="E216:E221">"240302"</f>
        <v>240302</v>
      </c>
      <c r="F216" s="9" t="str">
        <f>"张希"</f>
        <v>张希</v>
      </c>
      <c r="G216" s="9" t="str">
        <f t="shared" si="17"/>
        <v>女</v>
      </c>
      <c r="H216" s="8"/>
    </row>
    <row r="217" spans="1:8" ht="34.5" customHeight="1">
      <c r="A217" s="8">
        <v>214</v>
      </c>
      <c r="B217" s="9" t="str">
        <f>"65172024052821293285799"</f>
        <v>65172024052821293285799</v>
      </c>
      <c r="C217" s="9" t="s">
        <v>23</v>
      </c>
      <c r="D217" s="9" t="s">
        <v>12</v>
      </c>
      <c r="E217" s="9" t="str">
        <f t="shared" si="19"/>
        <v>240302</v>
      </c>
      <c r="F217" s="9" t="str">
        <f>"陈荣才"</f>
        <v>陈荣才</v>
      </c>
      <c r="G217" s="9" t="str">
        <f>"男"</f>
        <v>男</v>
      </c>
      <c r="H217" s="8"/>
    </row>
    <row r="218" spans="1:8" ht="34.5" customHeight="1">
      <c r="A218" s="8">
        <v>215</v>
      </c>
      <c r="B218" s="9" t="str">
        <f>"65172024052820282985663"</f>
        <v>65172024052820282985663</v>
      </c>
      <c r="C218" s="9" t="s">
        <v>23</v>
      </c>
      <c r="D218" s="9" t="s">
        <v>12</v>
      </c>
      <c r="E218" s="9" t="str">
        <f t="shared" si="19"/>
        <v>240302</v>
      </c>
      <c r="F218" s="9" t="str">
        <f>"林警"</f>
        <v>林警</v>
      </c>
      <c r="G218" s="9" t="str">
        <f>"男"</f>
        <v>男</v>
      </c>
      <c r="H218" s="8"/>
    </row>
    <row r="219" spans="1:8" ht="34.5" customHeight="1">
      <c r="A219" s="8">
        <v>216</v>
      </c>
      <c r="B219" s="9" t="str">
        <f>"65172024052415015375208"</f>
        <v>65172024052415015375208</v>
      </c>
      <c r="C219" s="9" t="s">
        <v>23</v>
      </c>
      <c r="D219" s="9" t="s">
        <v>12</v>
      </c>
      <c r="E219" s="9" t="str">
        <f t="shared" si="19"/>
        <v>240302</v>
      </c>
      <c r="F219" s="9" t="str">
        <f>"符海琴"</f>
        <v>符海琴</v>
      </c>
      <c r="G219" s="9" t="str">
        <f aca="true" t="shared" si="20" ref="G219:G238">"女"</f>
        <v>女</v>
      </c>
      <c r="H219" s="8"/>
    </row>
    <row r="220" spans="1:8" ht="34.5" customHeight="1">
      <c r="A220" s="8">
        <v>217</v>
      </c>
      <c r="B220" s="9" t="str">
        <f>"651720240602200508116065"</f>
        <v>651720240602200508116065</v>
      </c>
      <c r="C220" s="9" t="s">
        <v>23</v>
      </c>
      <c r="D220" s="9" t="s">
        <v>12</v>
      </c>
      <c r="E220" s="9" t="str">
        <f t="shared" si="19"/>
        <v>240302</v>
      </c>
      <c r="F220" s="9" t="str">
        <f>"祁佳佳"</f>
        <v>祁佳佳</v>
      </c>
      <c r="G220" s="9" t="str">
        <f t="shared" si="20"/>
        <v>女</v>
      </c>
      <c r="H220" s="8"/>
    </row>
    <row r="221" spans="1:8" ht="34.5" customHeight="1">
      <c r="A221" s="8">
        <v>218</v>
      </c>
      <c r="B221" s="9" t="str">
        <f>"651720240605225221141315"</f>
        <v>651720240605225221141315</v>
      </c>
      <c r="C221" s="9" t="s">
        <v>23</v>
      </c>
      <c r="D221" s="9" t="s">
        <v>12</v>
      </c>
      <c r="E221" s="9" t="str">
        <f t="shared" si="19"/>
        <v>240302</v>
      </c>
      <c r="F221" s="9" t="str">
        <f>"李若盈"</f>
        <v>李若盈</v>
      </c>
      <c r="G221" s="9" t="str">
        <f t="shared" si="20"/>
        <v>女</v>
      </c>
      <c r="H221" s="8"/>
    </row>
    <row r="222" spans="1:8" ht="34.5" customHeight="1">
      <c r="A222" s="8">
        <v>219</v>
      </c>
      <c r="B222" s="9" t="str">
        <f>"65172024052607555977364"</f>
        <v>65172024052607555977364</v>
      </c>
      <c r="C222" s="9" t="s">
        <v>23</v>
      </c>
      <c r="D222" s="9" t="s">
        <v>13</v>
      </c>
      <c r="E222" s="9" t="str">
        <f aca="true" t="shared" si="21" ref="E222:E236">"240303"</f>
        <v>240303</v>
      </c>
      <c r="F222" s="9" t="str">
        <f>"陈丹娱"</f>
        <v>陈丹娱</v>
      </c>
      <c r="G222" s="9" t="str">
        <f t="shared" si="20"/>
        <v>女</v>
      </c>
      <c r="H222" s="8"/>
    </row>
    <row r="223" spans="1:8" ht="34.5" customHeight="1">
      <c r="A223" s="8">
        <v>220</v>
      </c>
      <c r="B223" s="9" t="str">
        <f>"65172024052613055177681"</f>
        <v>65172024052613055177681</v>
      </c>
      <c r="C223" s="9" t="s">
        <v>23</v>
      </c>
      <c r="D223" s="9" t="s">
        <v>13</v>
      </c>
      <c r="E223" s="9" t="str">
        <f t="shared" si="21"/>
        <v>240303</v>
      </c>
      <c r="F223" s="9" t="str">
        <f>"林欣"</f>
        <v>林欣</v>
      </c>
      <c r="G223" s="9" t="str">
        <f t="shared" si="20"/>
        <v>女</v>
      </c>
      <c r="H223" s="8"/>
    </row>
    <row r="224" spans="1:8" ht="34.5" customHeight="1">
      <c r="A224" s="8">
        <v>221</v>
      </c>
      <c r="B224" s="9" t="str">
        <f>"65172024052811554083437"</f>
        <v>65172024052811554083437</v>
      </c>
      <c r="C224" s="9" t="s">
        <v>23</v>
      </c>
      <c r="D224" s="9" t="s">
        <v>13</v>
      </c>
      <c r="E224" s="9" t="str">
        <f t="shared" si="21"/>
        <v>240303</v>
      </c>
      <c r="F224" s="9" t="str">
        <f>"蔡诗琪"</f>
        <v>蔡诗琪</v>
      </c>
      <c r="G224" s="9" t="str">
        <f t="shared" si="20"/>
        <v>女</v>
      </c>
      <c r="H224" s="8"/>
    </row>
    <row r="225" spans="1:8" ht="34.5" customHeight="1">
      <c r="A225" s="8">
        <v>222</v>
      </c>
      <c r="B225" s="9" t="str">
        <f>"65172024052616090577948"</f>
        <v>65172024052616090577948</v>
      </c>
      <c r="C225" s="9" t="s">
        <v>23</v>
      </c>
      <c r="D225" s="9" t="s">
        <v>13</v>
      </c>
      <c r="E225" s="9" t="str">
        <f t="shared" si="21"/>
        <v>240303</v>
      </c>
      <c r="F225" s="9" t="str">
        <f>"李紫云"</f>
        <v>李紫云</v>
      </c>
      <c r="G225" s="9" t="str">
        <f t="shared" si="20"/>
        <v>女</v>
      </c>
      <c r="H225" s="8"/>
    </row>
    <row r="226" spans="1:8" ht="34.5" customHeight="1">
      <c r="A226" s="8">
        <v>223</v>
      </c>
      <c r="B226" s="9" t="str">
        <f>"65172024052919591589944"</f>
        <v>65172024052919591589944</v>
      </c>
      <c r="C226" s="9" t="s">
        <v>23</v>
      </c>
      <c r="D226" s="9" t="s">
        <v>13</v>
      </c>
      <c r="E226" s="9" t="str">
        <f t="shared" si="21"/>
        <v>240303</v>
      </c>
      <c r="F226" s="9" t="str">
        <f>"曾蕙"</f>
        <v>曾蕙</v>
      </c>
      <c r="G226" s="9" t="str">
        <f t="shared" si="20"/>
        <v>女</v>
      </c>
      <c r="H226" s="8"/>
    </row>
    <row r="227" spans="1:8" ht="34.5" customHeight="1">
      <c r="A227" s="8">
        <v>224</v>
      </c>
      <c r="B227" s="9" t="str">
        <f>"65172024052823064486016"</f>
        <v>65172024052823064486016</v>
      </c>
      <c r="C227" s="9" t="s">
        <v>23</v>
      </c>
      <c r="D227" s="9" t="s">
        <v>13</v>
      </c>
      <c r="E227" s="9" t="str">
        <f t="shared" si="21"/>
        <v>240303</v>
      </c>
      <c r="F227" s="9" t="str">
        <f>"符丰洁"</f>
        <v>符丰洁</v>
      </c>
      <c r="G227" s="9" t="str">
        <f t="shared" si="20"/>
        <v>女</v>
      </c>
      <c r="H227" s="8"/>
    </row>
    <row r="228" spans="1:8" ht="34.5" customHeight="1">
      <c r="A228" s="8">
        <v>225</v>
      </c>
      <c r="B228" s="9" t="str">
        <f>"65172024052817114584185"</f>
        <v>65172024052817114584185</v>
      </c>
      <c r="C228" s="9" t="s">
        <v>23</v>
      </c>
      <c r="D228" s="9" t="s">
        <v>13</v>
      </c>
      <c r="E228" s="9" t="str">
        <f t="shared" si="21"/>
        <v>240303</v>
      </c>
      <c r="F228" s="9" t="str">
        <f>"王艺诺"</f>
        <v>王艺诺</v>
      </c>
      <c r="G228" s="9" t="str">
        <f t="shared" si="20"/>
        <v>女</v>
      </c>
      <c r="H228" s="8"/>
    </row>
    <row r="229" spans="1:8" ht="34.5" customHeight="1">
      <c r="A229" s="8">
        <v>226</v>
      </c>
      <c r="B229" s="9" t="str">
        <f>"65172024052611224277569"</f>
        <v>65172024052611224277569</v>
      </c>
      <c r="C229" s="9" t="s">
        <v>23</v>
      </c>
      <c r="D229" s="9" t="s">
        <v>13</v>
      </c>
      <c r="E229" s="9" t="str">
        <f t="shared" si="21"/>
        <v>240303</v>
      </c>
      <c r="F229" s="9" t="str">
        <f>"蒋红莲"</f>
        <v>蒋红莲</v>
      </c>
      <c r="G229" s="9" t="str">
        <f t="shared" si="20"/>
        <v>女</v>
      </c>
      <c r="H229" s="8"/>
    </row>
    <row r="230" spans="1:8" ht="34.5" customHeight="1">
      <c r="A230" s="8">
        <v>227</v>
      </c>
      <c r="B230" s="9" t="str">
        <f>"651720240602163917115103"</f>
        <v>651720240602163917115103</v>
      </c>
      <c r="C230" s="9" t="s">
        <v>23</v>
      </c>
      <c r="D230" s="9" t="s">
        <v>13</v>
      </c>
      <c r="E230" s="9" t="str">
        <f t="shared" si="21"/>
        <v>240303</v>
      </c>
      <c r="F230" s="9" t="str">
        <f>"李嘉敏"</f>
        <v>李嘉敏</v>
      </c>
      <c r="G230" s="9" t="str">
        <f t="shared" si="20"/>
        <v>女</v>
      </c>
      <c r="H230" s="8"/>
    </row>
    <row r="231" spans="1:8" ht="34.5" customHeight="1">
      <c r="A231" s="8">
        <v>228</v>
      </c>
      <c r="B231" s="9" t="str">
        <f>"651720240604100252126928"</f>
        <v>651720240604100252126928</v>
      </c>
      <c r="C231" s="9" t="s">
        <v>23</v>
      </c>
      <c r="D231" s="9" t="s">
        <v>13</v>
      </c>
      <c r="E231" s="9" t="str">
        <f t="shared" si="21"/>
        <v>240303</v>
      </c>
      <c r="F231" s="9" t="str">
        <f>"王艺瑶"</f>
        <v>王艺瑶</v>
      </c>
      <c r="G231" s="9" t="str">
        <f t="shared" si="20"/>
        <v>女</v>
      </c>
      <c r="H231" s="8"/>
    </row>
    <row r="232" spans="1:8" ht="34.5" customHeight="1">
      <c r="A232" s="8">
        <v>229</v>
      </c>
      <c r="B232" s="9" t="str">
        <f>"651720240604200615131332"</f>
        <v>651720240604200615131332</v>
      </c>
      <c r="C232" s="9" t="s">
        <v>23</v>
      </c>
      <c r="D232" s="9" t="s">
        <v>13</v>
      </c>
      <c r="E232" s="9" t="str">
        <f t="shared" si="21"/>
        <v>240303</v>
      </c>
      <c r="F232" s="9" t="str">
        <f>"唐华蓉"</f>
        <v>唐华蓉</v>
      </c>
      <c r="G232" s="9" t="str">
        <f t="shared" si="20"/>
        <v>女</v>
      </c>
      <c r="H232" s="8"/>
    </row>
    <row r="233" spans="1:8" ht="34.5" customHeight="1">
      <c r="A233" s="8">
        <v>230</v>
      </c>
      <c r="B233" s="9" t="str">
        <f>"651720240605185922140354"</f>
        <v>651720240605185922140354</v>
      </c>
      <c r="C233" s="9" t="s">
        <v>23</v>
      </c>
      <c r="D233" s="9" t="s">
        <v>13</v>
      </c>
      <c r="E233" s="9" t="str">
        <f t="shared" si="21"/>
        <v>240303</v>
      </c>
      <c r="F233" s="9" t="str">
        <f>"黄语薇"</f>
        <v>黄语薇</v>
      </c>
      <c r="G233" s="9" t="str">
        <f t="shared" si="20"/>
        <v>女</v>
      </c>
      <c r="H233" s="8"/>
    </row>
    <row r="234" spans="1:8" ht="34.5" customHeight="1">
      <c r="A234" s="8">
        <v>231</v>
      </c>
      <c r="B234" s="9" t="str">
        <f>"651720240605170554139937"</f>
        <v>651720240605170554139937</v>
      </c>
      <c r="C234" s="9" t="s">
        <v>23</v>
      </c>
      <c r="D234" s="9" t="s">
        <v>13</v>
      </c>
      <c r="E234" s="9" t="str">
        <f t="shared" si="21"/>
        <v>240303</v>
      </c>
      <c r="F234" s="9" t="str">
        <f>"刘如艳"</f>
        <v>刘如艳</v>
      </c>
      <c r="G234" s="9" t="str">
        <f t="shared" si="20"/>
        <v>女</v>
      </c>
      <c r="H234" s="8"/>
    </row>
    <row r="235" spans="1:8" ht="34.5" customHeight="1">
      <c r="A235" s="8">
        <v>232</v>
      </c>
      <c r="B235" s="9" t="str">
        <f>"651720240605182141140234"</f>
        <v>651720240605182141140234</v>
      </c>
      <c r="C235" s="9" t="s">
        <v>23</v>
      </c>
      <c r="D235" s="9" t="s">
        <v>13</v>
      </c>
      <c r="E235" s="9" t="str">
        <f t="shared" si="21"/>
        <v>240303</v>
      </c>
      <c r="F235" s="9" t="str">
        <f>"路璐"</f>
        <v>路璐</v>
      </c>
      <c r="G235" s="9" t="str">
        <f t="shared" si="20"/>
        <v>女</v>
      </c>
      <c r="H235" s="8"/>
    </row>
    <row r="236" spans="1:8" ht="34.5" customHeight="1">
      <c r="A236" s="8">
        <v>233</v>
      </c>
      <c r="B236" s="9" t="str">
        <f>"651720240605221256141153"</f>
        <v>651720240605221256141153</v>
      </c>
      <c r="C236" s="9" t="s">
        <v>23</v>
      </c>
      <c r="D236" s="9" t="s">
        <v>13</v>
      </c>
      <c r="E236" s="9" t="str">
        <f t="shared" si="21"/>
        <v>240303</v>
      </c>
      <c r="F236" s="9" t="str">
        <f>"何彦"</f>
        <v>何彦</v>
      </c>
      <c r="G236" s="9" t="str">
        <f t="shared" si="20"/>
        <v>女</v>
      </c>
      <c r="H236" s="8"/>
    </row>
    <row r="237" spans="1:8" ht="34.5" customHeight="1">
      <c r="A237" s="8">
        <v>234</v>
      </c>
      <c r="B237" s="9" t="str">
        <f>"65172024052423155976144"</f>
        <v>65172024052423155976144</v>
      </c>
      <c r="C237" s="9" t="s">
        <v>23</v>
      </c>
      <c r="D237" s="9" t="s">
        <v>14</v>
      </c>
      <c r="E237" s="9" t="str">
        <f>"240304"</f>
        <v>240304</v>
      </c>
      <c r="F237" s="9" t="str">
        <f>"耿玥"</f>
        <v>耿玥</v>
      </c>
      <c r="G237" s="9" t="str">
        <f t="shared" si="20"/>
        <v>女</v>
      </c>
      <c r="H237" s="8"/>
    </row>
    <row r="238" spans="1:8" ht="34.5" customHeight="1">
      <c r="A238" s="8">
        <v>235</v>
      </c>
      <c r="B238" s="9" t="str">
        <f>"65172024052720363182266"</f>
        <v>65172024052720363182266</v>
      </c>
      <c r="C238" s="9" t="s">
        <v>23</v>
      </c>
      <c r="D238" s="9" t="s">
        <v>14</v>
      </c>
      <c r="E238" s="9" t="str">
        <f>"240304"</f>
        <v>240304</v>
      </c>
      <c r="F238" s="9" t="str">
        <f>"蔡静"</f>
        <v>蔡静</v>
      </c>
      <c r="G238" s="9" t="str">
        <f t="shared" si="20"/>
        <v>女</v>
      </c>
      <c r="H238" s="8"/>
    </row>
    <row r="239" spans="1:8" ht="34.5" customHeight="1">
      <c r="A239" s="8">
        <v>236</v>
      </c>
      <c r="B239" s="9" t="str">
        <f>"65172024053014401495779"</f>
        <v>65172024053014401495779</v>
      </c>
      <c r="C239" s="9" t="s">
        <v>23</v>
      </c>
      <c r="D239" s="9" t="s">
        <v>14</v>
      </c>
      <c r="E239" s="9" t="str">
        <f>"240304"</f>
        <v>240304</v>
      </c>
      <c r="F239" s="9" t="str">
        <f>"叶涛"</f>
        <v>叶涛</v>
      </c>
      <c r="G239" s="9" t="str">
        <f>"男"</f>
        <v>男</v>
      </c>
      <c r="H239" s="8"/>
    </row>
    <row r="240" spans="1:8" ht="34.5" customHeight="1">
      <c r="A240" s="8">
        <v>237</v>
      </c>
      <c r="B240" s="9" t="str">
        <f>"651720240604170128130338"</f>
        <v>651720240604170128130338</v>
      </c>
      <c r="C240" s="9" t="s">
        <v>23</v>
      </c>
      <c r="D240" s="9" t="s">
        <v>14</v>
      </c>
      <c r="E240" s="9" t="str">
        <f>"240304"</f>
        <v>240304</v>
      </c>
      <c r="F240" s="9" t="str">
        <f>"卢婷"</f>
        <v>卢婷</v>
      </c>
      <c r="G240" s="9" t="str">
        <f aca="true" t="shared" si="22" ref="G240:G248">"女"</f>
        <v>女</v>
      </c>
      <c r="H240" s="8"/>
    </row>
    <row r="241" spans="1:8" ht="34.5" customHeight="1">
      <c r="A241" s="8">
        <v>238</v>
      </c>
      <c r="B241" s="9" t="str">
        <f>"651720240604170855130390"</f>
        <v>651720240604170855130390</v>
      </c>
      <c r="C241" s="9" t="s">
        <v>23</v>
      </c>
      <c r="D241" s="9" t="s">
        <v>14</v>
      </c>
      <c r="E241" s="9" t="str">
        <f>"240304"</f>
        <v>240304</v>
      </c>
      <c r="F241" s="9" t="str">
        <f>"罗维潇"</f>
        <v>罗维潇</v>
      </c>
      <c r="G241" s="9" t="str">
        <f t="shared" si="22"/>
        <v>女</v>
      </c>
      <c r="H241" s="8"/>
    </row>
    <row r="242" spans="1:8" ht="34.5" customHeight="1">
      <c r="A242" s="8">
        <v>239</v>
      </c>
      <c r="B242" s="9" t="str">
        <f>"65172024052615525877920"</f>
        <v>65172024052615525877920</v>
      </c>
      <c r="C242" s="9" t="s">
        <v>23</v>
      </c>
      <c r="D242" s="9" t="s">
        <v>25</v>
      </c>
      <c r="E242" s="9" t="str">
        <f aca="true" t="shared" si="23" ref="E242:E251">"240305"</f>
        <v>240305</v>
      </c>
      <c r="F242" s="9" t="str">
        <f>"岑举芳"</f>
        <v>岑举芳</v>
      </c>
      <c r="G242" s="9" t="str">
        <f t="shared" si="22"/>
        <v>女</v>
      </c>
      <c r="H242" s="8"/>
    </row>
    <row r="243" spans="1:8" ht="34.5" customHeight="1">
      <c r="A243" s="8">
        <v>240</v>
      </c>
      <c r="B243" s="9" t="str">
        <f>"65172024052718105681880"</f>
        <v>65172024052718105681880</v>
      </c>
      <c r="C243" s="9" t="s">
        <v>23</v>
      </c>
      <c r="D243" s="9" t="s">
        <v>25</v>
      </c>
      <c r="E243" s="9" t="str">
        <f t="shared" si="23"/>
        <v>240305</v>
      </c>
      <c r="F243" s="9" t="str">
        <f>"钟玄英"</f>
        <v>钟玄英</v>
      </c>
      <c r="G243" s="9" t="str">
        <f t="shared" si="22"/>
        <v>女</v>
      </c>
      <c r="H243" s="8"/>
    </row>
    <row r="244" spans="1:8" ht="34.5" customHeight="1">
      <c r="A244" s="8">
        <v>241</v>
      </c>
      <c r="B244" s="9" t="str">
        <f>"65172024052716191781484"</f>
        <v>65172024052716191781484</v>
      </c>
      <c r="C244" s="9" t="s">
        <v>23</v>
      </c>
      <c r="D244" s="9" t="s">
        <v>25</v>
      </c>
      <c r="E244" s="9" t="str">
        <f t="shared" si="23"/>
        <v>240305</v>
      </c>
      <c r="F244" s="9" t="str">
        <f>"翁瑞冰"</f>
        <v>翁瑞冰</v>
      </c>
      <c r="G244" s="9" t="str">
        <f t="shared" si="22"/>
        <v>女</v>
      </c>
      <c r="H244" s="8"/>
    </row>
    <row r="245" spans="1:8" ht="34.5" customHeight="1">
      <c r="A245" s="8">
        <v>242</v>
      </c>
      <c r="B245" s="9" t="str">
        <f>"65172024052822365685954"</f>
        <v>65172024052822365685954</v>
      </c>
      <c r="C245" s="9" t="s">
        <v>23</v>
      </c>
      <c r="D245" s="9" t="s">
        <v>25</v>
      </c>
      <c r="E245" s="9" t="str">
        <f t="shared" si="23"/>
        <v>240305</v>
      </c>
      <c r="F245" s="9" t="str">
        <f>"黄金恋"</f>
        <v>黄金恋</v>
      </c>
      <c r="G245" s="9" t="str">
        <f t="shared" si="22"/>
        <v>女</v>
      </c>
      <c r="H245" s="8"/>
    </row>
    <row r="246" spans="1:8" ht="34.5" customHeight="1">
      <c r="A246" s="8">
        <v>243</v>
      </c>
      <c r="B246" s="9" t="str">
        <f>"65172024052923480991462"</f>
        <v>65172024052923480991462</v>
      </c>
      <c r="C246" s="9" t="s">
        <v>23</v>
      </c>
      <c r="D246" s="9" t="s">
        <v>25</v>
      </c>
      <c r="E246" s="9" t="str">
        <f t="shared" si="23"/>
        <v>240305</v>
      </c>
      <c r="F246" s="9" t="str">
        <f>"赖冰如"</f>
        <v>赖冰如</v>
      </c>
      <c r="G246" s="9" t="str">
        <f t="shared" si="22"/>
        <v>女</v>
      </c>
      <c r="H246" s="8"/>
    </row>
    <row r="247" spans="1:8" ht="34.5" customHeight="1">
      <c r="A247" s="8">
        <v>244</v>
      </c>
      <c r="B247" s="9" t="str">
        <f>"65172024053100504799900"</f>
        <v>65172024053100504799900</v>
      </c>
      <c r="C247" s="9" t="s">
        <v>23</v>
      </c>
      <c r="D247" s="9" t="s">
        <v>25</v>
      </c>
      <c r="E247" s="9" t="str">
        <f t="shared" si="23"/>
        <v>240305</v>
      </c>
      <c r="F247" s="9" t="str">
        <f>"王菊菊"</f>
        <v>王菊菊</v>
      </c>
      <c r="G247" s="9" t="str">
        <f t="shared" si="22"/>
        <v>女</v>
      </c>
      <c r="H247" s="8"/>
    </row>
    <row r="248" spans="1:8" ht="34.5" customHeight="1">
      <c r="A248" s="8">
        <v>245</v>
      </c>
      <c r="B248" s="9" t="str">
        <f>"651720240531212039108485"</f>
        <v>651720240531212039108485</v>
      </c>
      <c r="C248" s="9" t="s">
        <v>23</v>
      </c>
      <c r="D248" s="9" t="s">
        <v>25</v>
      </c>
      <c r="E248" s="9" t="str">
        <f t="shared" si="23"/>
        <v>240305</v>
      </c>
      <c r="F248" s="9" t="str">
        <f>"赵家佳"</f>
        <v>赵家佳</v>
      </c>
      <c r="G248" s="9" t="str">
        <f t="shared" si="22"/>
        <v>女</v>
      </c>
      <c r="H248" s="8"/>
    </row>
    <row r="249" spans="1:8" ht="34.5" customHeight="1">
      <c r="A249" s="8">
        <v>246</v>
      </c>
      <c r="B249" s="9" t="str">
        <f>"65172024052708070378740"</f>
        <v>65172024052708070378740</v>
      </c>
      <c r="C249" s="9" t="s">
        <v>23</v>
      </c>
      <c r="D249" s="9" t="s">
        <v>25</v>
      </c>
      <c r="E249" s="9" t="str">
        <f t="shared" si="23"/>
        <v>240305</v>
      </c>
      <c r="F249" s="9" t="str">
        <f>"黎金亮"</f>
        <v>黎金亮</v>
      </c>
      <c r="G249" s="9" t="str">
        <f>"男"</f>
        <v>男</v>
      </c>
      <c r="H249" s="8"/>
    </row>
    <row r="250" spans="1:8" ht="34.5" customHeight="1">
      <c r="A250" s="8">
        <v>247</v>
      </c>
      <c r="B250" s="9" t="str">
        <f>"651720240604212641131813"</f>
        <v>651720240604212641131813</v>
      </c>
      <c r="C250" s="9" t="s">
        <v>23</v>
      </c>
      <c r="D250" s="9" t="s">
        <v>25</v>
      </c>
      <c r="E250" s="9" t="str">
        <f t="shared" si="23"/>
        <v>240305</v>
      </c>
      <c r="F250" s="9" t="str">
        <f>"王倩"</f>
        <v>王倩</v>
      </c>
      <c r="G250" s="9" t="str">
        <f>"女"</f>
        <v>女</v>
      </c>
      <c r="H250" s="8"/>
    </row>
    <row r="251" spans="1:8" ht="34.5" customHeight="1">
      <c r="A251" s="8">
        <v>248</v>
      </c>
      <c r="B251" s="9" t="str">
        <f>"651720240605120534135242"</f>
        <v>651720240605120534135242</v>
      </c>
      <c r="C251" s="9" t="s">
        <v>23</v>
      </c>
      <c r="D251" s="9" t="s">
        <v>25</v>
      </c>
      <c r="E251" s="9" t="str">
        <f t="shared" si="23"/>
        <v>240305</v>
      </c>
      <c r="F251" s="9" t="str">
        <f>"蔡丽雯"</f>
        <v>蔡丽雯</v>
      </c>
      <c r="G251" s="9" t="str">
        <f>"女"</f>
        <v>女</v>
      </c>
      <c r="H251" s="8"/>
    </row>
    <row r="252" spans="1:8" ht="34.5" customHeight="1">
      <c r="A252" s="8">
        <v>249</v>
      </c>
      <c r="B252" s="9" t="str">
        <f>"65172024052411294274623"</f>
        <v>65172024052411294274623</v>
      </c>
      <c r="C252" s="9" t="s">
        <v>23</v>
      </c>
      <c r="D252" s="9" t="s">
        <v>26</v>
      </c>
      <c r="E252" s="9" t="str">
        <f aca="true" t="shared" si="24" ref="E252:E273">"240306"</f>
        <v>240306</v>
      </c>
      <c r="F252" s="9" t="str">
        <f>"韩富畴"</f>
        <v>韩富畴</v>
      </c>
      <c r="G252" s="9" t="str">
        <f>"男"</f>
        <v>男</v>
      </c>
      <c r="H252" s="8"/>
    </row>
    <row r="253" spans="1:8" ht="34.5" customHeight="1">
      <c r="A253" s="8">
        <v>250</v>
      </c>
      <c r="B253" s="9" t="str">
        <f>"65172024052415332575351"</f>
        <v>65172024052415332575351</v>
      </c>
      <c r="C253" s="9" t="s">
        <v>23</v>
      </c>
      <c r="D253" s="9" t="s">
        <v>26</v>
      </c>
      <c r="E253" s="9" t="str">
        <f t="shared" si="24"/>
        <v>240306</v>
      </c>
      <c r="F253" s="9" t="str">
        <f>"薛尧萑"</f>
        <v>薛尧萑</v>
      </c>
      <c r="G253" s="9" t="str">
        <f>"女"</f>
        <v>女</v>
      </c>
      <c r="H253" s="8"/>
    </row>
    <row r="254" spans="1:8" ht="34.5" customHeight="1">
      <c r="A254" s="8">
        <v>251</v>
      </c>
      <c r="B254" s="9" t="str">
        <f>"65172024052413071274906"</f>
        <v>65172024052413071274906</v>
      </c>
      <c r="C254" s="9" t="s">
        <v>23</v>
      </c>
      <c r="D254" s="9" t="s">
        <v>26</v>
      </c>
      <c r="E254" s="9" t="str">
        <f t="shared" si="24"/>
        <v>240306</v>
      </c>
      <c r="F254" s="9" t="str">
        <f>"黄兆娟"</f>
        <v>黄兆娟</v>
      </c>
      <c r="G254" s="9" t="str">
        <f>"女"</f>
        <v>女</v>
      </c>
      <c r="H254" s="8"/>
    </row>
    <row r="255" spans="1:8" ht="34.5" customHeight="1">
      <c r="A255" s="8">
        <v>252</v>
      </c>
      <c r="B255" s="9" t="str">
        <f>"65172024052520552077075"</f>
        <v>65172024052520552077075</v>
      </c>
      <c r="C255" s="9" t="s">
        <v>23</v>
      </c>
      <c r="D255" s="9" t="s">
        <v>26</v>
      </c>
      <c r="E255" s="9" t="str">
        <f t="shared" si="24"/>
        <v>240306</v>
      </c>
      <c r="F255" s="9" t="str">
        <f>"李开浩"</f>
        <v>李开浩</v>
      </c>
      <c r="G255" s="9" t="str">
        <f>"男"</f>
        <v>男</v>
      </c>
      <c r="H255" s="8"/>
    </row>
    <row r="256" spans="1:8" ht="34.5" customHeight="1">
      <c r="A256" s="8">
        <v>253</v>
      </c>
      <c r="B256" s="9" t="str">
        <f>"65172024052619282078207"</f>
        <v>65172024052619282078207</v>
      </c>
      <c r="C256" s="9" t="s">
        <v>23</v>
      </c>
      <c r="D256" s="9" t="s">
        <v>26</v>
      </c>
      <c r="E256" s="9" t="str">
        <f t="shared" si="24"/>
        <v>240306</v>
      </c>
      <c r="F256" s="9" t="str">
        <f>"黄良涛"</f>
        <v>黄良涛</v>
      </c>
      <c r="G256" s="9" t="str">
        <f>"男"</f>
        <v>男</v>
      </c>
      <c r="H256" s="8"/>
    </row>
    <row r="257" spans="1:8" ht="34.5" customHeight="1">
      <c r="A257" s="8">
        <v>254</v>
      </c>
      <c r="B257" s="9" t="str">
        <f>"65172024052714053280846"</f>
        <v>65172024052714053280846</v>
      </c>
      <c r="C257" s="9" t="s">
        <v>23</v>
      </c>
      <c r="D257" s="9" t="s">
        <v>26</v>
      </c>
      <c r="E257" s="9" t="str">
        <f t="shared" si="24"/>
        <v>240306</v>
      </c>
      <c r="F257" s="9" t="str">
        <f>"符小英"</f>
        <v>符小英</v>
      </c>
      <c r="G257" s="9" t="str">
        <f>"女"</f>
        <v>女</v>
      </c>
      <c r="H257" s="8"/>
    </row>
    <row r="258" spans="1:8" ht="34.5" customHeight="1">
      <c r="A258" s="8">
        <v>255</v>
      </c>
      <c r="B258" s="9" t="str">
        <f>"65172024052719484382120"</f>
        <v>65172024052719484382120</v>
      </c>
      <c r="C258" s="9" t="s">
        <v>23</v>
      </c>
      <c r="D258" s="9" t="s">
        <v>26</v>
      </c>
      <c r="E258" s="9" t="str">
        <f t="shared" si="24"/>
        <v>240306</v>
      </c>
      <c r="F258" s="9" t="str">
        <f>"王荣"</f>
        <v>王荣</v>
      </c>
      <c r="G258" s="9" t="str">
        <f>"女"</f>
        <v>女</v>
      </c>
      <c r="H258" s="8"/>
    </row>
    <row r="259" spans="1:8" ht="34.5" customHeight="1">
      <c r="A259" s="8">
        <v>256</v>
      </c>
      <c r="B259" s="9" t="str">
        <f>"65172024052721090882361"</f>
        <v>65172024052721090882361</v>
      </c>
      <c r="C259" s="9" t="s">
        <v>23</v>
      </c>
      <c r="D259" s="9" t="s">
        <v>26</v>
      </c>
      <c r="E259" s="9" t="str">
        <f t="shared" si="24"/>
        <v>240306</v>
      </c>
      <c r="F259" s="9" t="str">
        <f>"林良萍"</f>
        <v>林良萍</v>
      </c>
      <c r="G259" s="9" t="str">
        <f>"女"</f>
        <v>女</v>
      </c>
      <c r="H259" s="8"/>
    </row>
    <row r="260" spans="1:8" ht="34.5" customHeight="1">
      <c r="A260" s="8">
        <v>257</v>
      </c>
      <c r="B260" s="9" t="str">
        <f>"65172024052719475782117"</f>
        <v>65172024052719475782117</v>
      </c>
      <c r="C260" s="9" t="s">
        <v>23</v>
      </c>
      <c r="D260" s="9" t="s">
        <v>26</v>
      </c>
      <c r="E260" s="9" t="str">
        <f t="shared" si="24"/>
        <v>240306</v>
      </c>
      <c r="F260" s="9" t="str">
        <f>"张熙健"</f>
        <v>张熙健</v>
      </c>
      <c r="G260" s="9" t="str">
        <f>"男"</f>
        <v>男</v>
      </c>
      <c r="H260" s="8"/>
    </row>
    <row r="261" spans="1:8" ht="34.5" customHeight="1">
      <c r="A261" s="8">
        <v>258</v>
      </c>
      <c r="B261" s="9" t="str">
        <f>"65172024052813321083651"</f>
        <v>65172024052813321083651</v>
      </c>
      <c r="C261" s="9" t="s">
        <v>23</v>
      </c>
      <c r="D261" s="9" t="s">
        <v>26</v>
      </c>
      <c r="E261" s="9" t="str">
        <f t="shared" si="24"/>
        <v>240306</v>
      </c>
      <c r="F261" s="9" t="str">
        <f>"何华桃"</f>
        <v>何华桃</v>
      </c>
      <c r="G261" s="9" t="str">
        <f>"女"</f>
        <v>女</v>
      </c>
      <c r="H261" s="8"/>
    </row>
    <row r="262" spans="1:8" ht="34.5" customHeight="1">
      <c r="A262" s="8">
        <v>259</v>
      </c>
      <c r="B262" s="9" t="str">
        <f>"65172024053010543393839"</f>
        <v>65172024053010543393839</v>
      </c>
      <c r="C262" s="9" t="s">
        <v>23</v>
      </c>
      <c r="D262" s="9" t="s">
        <v>26</v>
      </c>
      <c r="E262" s="9" t="str">
        <f t="shared" si="24"/>
        <v>240306</v>
      </c>
      <c r="F262" s="9" t="str">
        <f>"王蛟"</f>
        <v>王蛟</v>
      </c>
      <c r="G262" s="9" t="str">
        <f>"女"</f>
        <v>女</v>
      </c>
      <c r="H262" s="8"/>
    </row>
    <row r="263" spans="1:8" ht="34.5" customHeight="1">
      <c r="A263" s="8">
        <v>260</v>
      </c>
      <c r="B263" s="9" t="str">
        <f>"65172024053015084896057"</f>
        <v>65172024053015084896057</v>
      </c>
      <c r="C263" s="9" t="s">
        <v>23</v>
      </c>
      <c r="D263" s="9" t="s">
        <v>26</v>
      </c>
      <c r="E263" s="9" t="str">
        <f t="shared" si="24"/>
        <v>240306</v>
      </c>
      <c r="F263" s="9" t="str">
        <f>"张勇宁"</f>
        <v>张勇宁</v>
      </c>
      <c r="G263" s="9" t="str">
        <f>"男"</f>
        <v>男</v>
      </c>
      <c r="H263" s="8"/>
    </row>
    <row r="264" spans="1:8" ht="34.5" customHeight="1">
      <c r="A264" s="8">
        <v>261</v>
      </c>
      <c r="B264" s="9" t="str">
        <f>"65172024052914570887953"</f>
        <v>65172024052914570887953</v>
      </c>
      <c r="C264" s="9" t="s">
        <v>23</v>
      </c>
      <c r="D264" s="9" t="s">
        <v>26</v>
      </c>
      <c r="E264" s="9" t="str">
        <f t="shared" si="24"/>
        <v>240306</v>
      </c>
      <c r="F264" s="9" t="str">
        <f>"黎子扬"</f>
        <v>黎子扬</v>
      </c>
      <c r="G264" s="9" t="str">
        <f>"男"</f>
        <v>男</v>
      </c>
      <c r="H264" s="8"/>
    </row>
    <row r="265" spans="1:8" ht="34.5" customHeight="1">
      <c r="A265" s="8">
        <v>262</v>
      </c>
      <c r="B265" s="9" t="str">
        <f>"651720240531194725108066"</f>
        <v>651720240531194725108066</v>
      </c>
      <c r="C265" s="9" t="s">
        <v>23</v>
      </c>
      <c r="D265" s="9" t="s">
        <v>26</v>
      </c>
      <c r="E265" s="9" t="str">
        <f t="shared" si="24"/>
        <v>240306</v>
      </c>
      <c r="F265" s="9" t="str">
        <f>"符朝珍"</f>
        <v>符朝珍</v>
      </c>
      <c r="G265" s="9" t="str">
        <f aca="true" t="shared" si="25" ref="G265:G270">"女"</f>
        <v>女</v>
      </c>
      <c r="H265" s="8"/>
    </row>
    <row r="266" spans="1:8" ht="34.5" customHeight="1">
      <c r="A266" s="8">
        <v>263</v>
      </c>
      <c r="B266" s="9" t="str">
        <f>"651720240601180229111566"</f>
        <v>651720240601180229111566</v>
      </c>
      <c r="C266" s="9" t="s">
        <v>23</v>
      </c>
      <c r="D266" s="9" t="s">
        <v>26</v>
      </c>
      <c r="E266" s="9" t="str">
        <f t="shared" si="24"/>
        <v>240306</v>
      </c>
      <c r="F266" s="9" t="str">
        <f>"陈莎莉"</f>
        <v>陈莎莉</v>
      </c>
      <c r="G266" s="9" t="str">
        <f t="shared" si="25"/>
        <v>女</v>
      </c>
      <c r="H266" s="8"/>
    </row>
    <row r="267" spans="1:8" ht="34.5" customHeight="1">
      <c r="A267" s="8">
        <v>264</v>
      </c>
      <c r="B267" s="9" t="str">
        <f>"651720240603103531119600"</f>
        <v>651720240603103531119600</v>
      </c>
      <c r="C267" s="9" t="s">
        <v>23</v>
      </c>
      <c r="D267" s="9" t="s">
        <v>26</v>
      </c>
      <c r="E267" s="9" t="str">
        <f t="shared" si="24"/>
        <v>240306</v>
      </c>
      <c r="F267" s="9" t="str">
        <f>"罗蓓 "</f>
        <v>罗蓓 </v>
      </c>
      <c r="G267" s="9" t="str">
        <f t="shared" si="25"/>
        <v>女</v>
      </c>
      <c r="H267" s="8"/>
    </row>
    <row r="268" spans="1:8" ht="34.5" customHeight="1">
      <c r="A268" s="8">
        <v>265</v>
      </c>
      <c r="B268" s="9" t="str">
        <f>"651720240603102424119417"</f>
        <v>651720240603102424119417</v>
      </c>
      <c r="C268" s="9" t="s">
        <v>23</v>
      </c>
      <c r="D268" s="9" t="s">
        <v>26</v>
      </c>
      <c r="E268" s="9" t="str">
        <f t="shared" si="24"/>
        <v>240306</v>
      </c>
      <c r="F268" s="9" t="str">
        <f>"叶心意"</f>
        <v>叶心意</v>
      </c>
      <c r="G268" s="9" t="str">
        <f t="shared" si="25"/>
        <v>女</v>
      </c>
      <c r="H268" s="8"/>
    </row>
    <row r="269" spans="1:8" ht="34.5" customHeight="1">
      <c r="A269" s="8">
        <v>266</v>
      </c>
      <c r="B269" s="9" t="str">
        <f>"651720240603160724123333"</f>
        <v>651720240603160724123333</v>
      </c>
      <c r="C269" s="9" t="s">
        <v>23</v>
      </c>
      <c r="D269" s="9" t="s">
        <v>26</v>
      </c>
      <c r="E269" s="9" t="str">
        <f t="shared" si="24"/>
        <v>240306</v>
      </c>
      <c r="F269" s="9" t="str">
        <f>"郭梦霞"</f>
        <v>郭梦霞</v>
      </c>
      <c r="G269" s="9" t="str">
        <f t="shared" si="25"/>
        <v>女</v>
      </c>
      <c r="H269" s="8"/>
    </row>
    <row r="270" spans="1:8" ht="34.5" customHeight="1">
      <c r="A270" s="8">
        <v>267</v>
      </c>
      <c r="B270" s="9" t="str">
        <f>"651720240604172938130520"</f>
        <v>651720240604172938130520</v>
      </c>
      <c r="C270" s="9" t="s">
        <v>23</v>
      </c>
      <c r="D270" s="9" t="s">
        <v>26</v>
      </c>
      <c r="E270" s="9" t="str">
        <f t="shared" si="24"/>
        <v>240306</v>
      </c>
      <c r="F270" s="9" t="str">
        <f>"王君"</f>
        <v>王君</v>
      </c>
      <c r="G270" s="9" t="str">
        <f t="shared" si="25"/>
        <v>女</v>
      </c>
      <c r="H270" s="8"/>
    </row>
    <row r="271" spans="1:8" ht="34.5" customHeight="1">
      <c r="A271" s="8">
        <v>268</v>
      </c>
      <c r="B271" s="9" t="str">
        <f>"651720240604193526131151"</f>
        <v>651720240604193526131151</v>
      </c>
      <c r="C271" s="9" t="s">
        <v>23</v>
      </c>
      <c r="D271" s="9" t="s">
        <v>26</v>
      </c>
      <c r="E271" s="9" t="str">
        <f t="shared" si="24"/>
        <v>240306</v>
      </c>
      <c r="F271" s="9" t="str">
        <f>"王平勇"</f>
        <v>王平勇</v>
      </c>
      <c r="G271" s="9" t="str">
        <f>"男"</f>
        <v>男</v>
      </c>
      <c r="H271" s="8"/>
    </row>
    <row r="272" spans="1:8" ht="34.5" customHeight="1">
      <c r="A272" s="8">
        <v>269</v>
      </c>
      <c r="B272" s="9" t="str">
        <f>"651720240604200820131348"</f>
        <v>651720240604200820131348</v>
      </c>
      <c r="C272" s="9" t="s">
        <v>23</v>
      </c>
      <c r="D272" s="9" t="s">
        <v>26</v>
      </c>
      <c r="E272" s="9" t="str">
        <f t="shared" si="24"/>
        <v>240306</v>
      </c>
      <c r="F272" s="9" t="str">
        <f>"何和堂"</f>
        <v>何和堂</v>
      </c>
      <c r="G272" s="9" t="str">
        <f>"男"</f>
        <v>男</v>
      </c>
      <c r="H272" s="8"/>
    </row>
    <row r="273" spans="1:8" ht="34.5" customHeight="1">
      <c r="A273" s="8">
        <v>270</v>
      </c>
      <c r="B273" s="9" t="str">
        <f>"651720240606143854143095"</f>
        <v>651720240606143854143095</v>
      </c>
      <c r="C273" s="9" t="s">
        <v>23</v>
      </c>
      <c r="D273" s="9" t="s">
        <v>26</v>
      </c>
      <c r="E273" s="9" t="str">
        <f t="shared" si="24"/>
        <v>240306</v>
      </c>
      <c r="F273" s="9" t="str">
        <f>"谢春桃"</f>
        <v>谢春桃</v>
      </c>
      <c r="G273" s="9" t="str">
        <f>"女"</f>
        <v>女</v>
      </c>
      <c r="H273" s="8"/>
    </row>
    <row r="274" spans="1:8" ht="34.5" customHeight="1">
      <c r="A274" s="8">
        <v>271</v>
      </c>
      <c r="B274" s="9" t="str">
        <f>"65172024052714455980978"</f>
        <v>65172024052714455980978</v>
      </c>
      <c r="C274" s="9" t="s">
        <v>23</v>
      </c>
      <c r="D274" s="9" t="s">
        <v>16</v>
      </c>
      <c r="E274" s="9" t="str">
        <f>"240307"</f>
        <v>240307</v>
      </c>
      <c r="F274" s="9" t="str">
        <f>"王晶晶"</f>
        <v>王晶晶</v>
      </c>
      <c r="G274" s="9" t="str">
        <f>"女"</f>
        <v>女</v>
      </c>
      <c r="H274" s="8"/>
    </row>
    <row r="275" spans="1:8" ht="34.5" customHeight="1">
      <c r="A275" s="8">
        <v>272</v>
      </c>
      <c r="B275" s="9" t="str">
        <f>"651720240604002528125915"</f>
        <v>651720240604002528125915</v>
      </c>
      <c r="C275" s="9" t="s">
        <v>23</v>
      </c>
      <c r="D275" s="9" t="s">
        <v>16</v>
      </c>
      <c r="E275" s="9" t="str">
        <f>"240307"</f>
        <v>240307</v>
      </c>
      <c r="F275" s="9" t="str">
        <f>"崔嫒"</f>
        <v>崔嫒</v>
      </c>
      <c r="G275" s="9" t="str">
        <f>"女"</f>
        <v>女</v>
      </c>
      <c r="H275" s="8"/>
    </row>
    <row r="276" spans="1:8" ht="34.5" customHeight="1">
      <c r="A276" s="8">
        <v>273</v>
      </c>
      <c r="B276" s="9" t="str">
        <f>"65172024052509543776301"</f>
        <v>65172024052509543776301</v>
      </c>
      <c r="C276" s="9" t="s">
        <v>23</v>
      </c>
      <c r="D276" s="9" t="s">
        <v>18</v>
      </c>
      <c r="E276" s="9" t="str">
        <f>"240308"</f>
        <v>240308</v>
      </c>
      <c r="F276" s="9" t="str">
        <f>"卢仁专"</f>
        <v>卢仁专</v>
      </c>
      <c r="G276" s="9" t="str">
        <f>"男"</f>
        <v>男</v>
      </c>
      <c r="H276" s="8"/>
    </row>
    <row r="277" spans="1:8" ht="34.5" customHeight="1">
      <c r="A277" s="8">
        <v>274</v>
      </c>
      <c r="B277" s="9" t="str">
        <f>"65172024052413083374911"</f>
        <v>65172024052413083374911</v>
      </c>
      <c r="C277" s="9" t="s">
        <v>23</v>
      </c>
      <c r="D277" s="9" t="s">
        <v>18</v>
      </c>
      <c r="E277" s="9" t="str">
        <f>"240308"</f>
        <v>240308</v>
      </c>
      <c r="F277" s="9" t="str">
        <f>"刘元炜"</f>
        <v>刘元炜</v>
      </c>
      <c r="G277" s="9" t="str">
        <f>"男"</f>
        <v>男</v>
      </c>
      <c r="H277" s="8"/>
    </row>
    <row r="278" spans="1:8" ht="34.5" customHeight="1">
      <c r="A278" s="8">
        <v>275</v>
      </c>
      <c r="B278" s="9" t="str">
        <f>"651720240603185003124527"</f>
        <v>651720240603185003124527</v>
      </c>
      <c r="C278" s="9" t="s">
        <v>23</v>
      </c>
      <c r="D278" s="9" t="s">
        <v>18</v>
      </c>
      <c r="E278" s="9" t="str">
        <f>"240308"</f>
        <v>240308</v>
      </c>
      <c r="F278" s="9" t="str">
        <f>"张振业"</f>
        <v>张振业</v>
      </c>
      <c r="G278" s="9" t="str">
        <f>"男"</f>
        <v>男</v>
      </c>
      <c r="H278" s="8"/>
    </row>
    <row r="279" spans="1:8" ht="34.5" customHeight="1">
      <c r="A279" s="8">
        <v>276</v>
      </c>
      <c r="B279" s="9" t="str">
        <f>"65172024052416235775552"</f>
        <v>65172024052416235775552</v>
      </c>
      <c r="C279" s="9" t="s">
        <v>27</v>
      </c>
      <c r="D279" s="9" t="s">
        <v>12</v>
      </c>
      <c r="E279" s="9" t="str">
        <f aca="true" t="shared" si="26" ref="E279:E292">"240401"</f>
        <v>240401</v>
      </c>
      <c r="F279" s="9" t="str">
        <f>"唐着阅"</f>
        <v>唐着阅</v>
      </c>
      <c r="G279" s="9" t="str">
        <f>"男"</f>
        <v>男</v>
      </c>
      <c r="H279" s="8"/>
    </row>
    <row r="280" spans="1:8" ht="34.5" customHeight="1">
      <c r="A280" s="8">
        <v>277</v>
      </c>
      <c r="B280" s="9" t="str">
        <f>"65172024052415565275438"</f>
        <v>65172024052415565275438</v>
      </c>
      <c r="C280" s="9" t="s">
        <v>27</v>
      </c>
      <c r="D280" s="9" t="s">
        <v>12</v>
      </c>
      <c r="E280" s="9" t="str">
        <f t="shared" si="26"/>
        <v>240401</v>
      </c>
      <c r="F280" s="9" t="str">
        <f>"王琪"</f>
        <v>王琪</v>
      </c>
      <c r="G280" s="9" t="str">
        <f>"男"</f>
        <v>男</v>
      </c>
      <c r="H280" s="8" t="s">
        <v>28</v>
      </c>
    </row>
    <row r="281" spans="1:8" ht="34.5" customHeight="1">
      <c r="A281" s="8">
        <v>278</v>
      </c>
      <c r="B281" s="9" t="str">
        <f>"65172024052611374977590"</f>
        <v>65172024052611374977590</v>
      </c>
      <c r="C281" s="9" t="s">
        <v>27</v>
      </c>
      <c r="D281" s="9" t="s">
        <v>12</v>
      </c>
      <c r="E281" s="9" t="str">
        <f t="shared" si="26"/>
        <v>240401</v>
      </c>
      <c r="F281" s="9" t="str">
        <f>"周青青"</f>
        <v>周青青</v>
      </c>
      <c r="G281" s="9" t="str">
        <f>"女"</f>
        <v>女</v>
      </c>
      <c r="H281" s="8"/>
    </row>
    <row r="282" spans="1:8" ht="34.5" customHeight="1">
      <c r="A282" s="8">
        <v>279</v>
      </c>
      <c r="B282" s="9" t="str">
        <f>"65172024052515494676743"</f>
        <v>65172024052515494676743</v>
      </c>
      <c r="C282" s="9" t="s">
        <v>27</v>
      </c>
      <c r="D282" s="9" t="s">
        <v>12</v>
      </c>
      <c r="E282" s="9" t="str">
        <f t="shared" si="26"/>
        <v>240401</v>
      </c>
      <c r="F282" s="9" t="str">
        <f>"孙有丹"</f>
        <v>孙有丹</v>
      </c>
      <c r="G282" s="9" t="str">
        <f>"女"</f>
        <v>女</v>
      </c>
      <c r="H282" s="8"/>
    </row>
    <row r="283" spans="1:8" ht="34.5" customHeight="1">
      <c r="A283" s="8">
        <v>280</v>
      </c>
      <c r="B283" s="9" t="str">
        <f>"65172024052912580587550"</f>
        <v>65172024052912580587550</v>
      </c>
      <c r="C283" s="9" t="s">
        <v>27</v>
      </c>
      <c r="D283" s="9" t="s">
        <v>12</v>
      </c>
      <c r="E283" s="9" t="str">
        <f t="shared" si="26"/>
        <v>240401</v>
      </c>
      <c r="F283" s="9" t="str">
        <f>"王春妹"</f>
        <v>王春妹</v>
      </c>
      <c r="G283" s="9" t="str">
        <f>"女"</f>
        <v>女</v>
      </c>
      <c r="H283" s="8"/>
    </row>
    <row r="284" spans="1:8" ht="34.5" customHeight="1">
      <c r="A284" s="8">
        <v>281</v>
      </c>
      <c r="B284" s="9" t="str">
        <f>"651720240601092028109517"</f>
        <v>651720240601092028109517</v>
      </c>
      <c r="C284" s="9" t="s">
        <v>27</v>
      </c>
      <c r="D284" s="9" t="s">
        <v>12</v>
      </c>
      <c r="E284" s="9" t="str">
        <f t="shared" si="26"/>
        <v>240401</v>
      </c>
      <c r="F284" s="9" t="str">
        <f>"张煊"</f>
        <v>张煊</v>
      </c>
      <c r="G284" s="9" t="str">
        <f>"女"</f>
        <v>女</v>
      </c>
      <c r="H284" s="8"/>
    </row>
    <row r="285" spans="1:8" ht="34.5" customHeight="1">
      <c r="A285" s="8">
        <v>282</v>
      </c>
      <c r="B285" s="9" t="str">
        <f>"651720240602193932115939"</f>
        <v>651720240602193932115939</v>
      </c>
      <c r="C285" s="9" t="s">
        <v>27</v>
      </c>
      <c r="D285" s="9" t="s">
        <v>12</v>
      </c>
      <c r="E285" s="9" t="str">
        <f t="shared" si="26"/>
        <v>240401</v>
      </c>
      <c r="F285" s="9" t="str">
        <f>"张洁"</f>
        <v>张洁</v>
      </c>
      <c r="G285" s="9" t="str">
        <f>"女"</f>
        <v>女</v>
      </c>
      <c r="H285" s="8"/>
    </row>
    <row r="286" spans="1:8" ht="34.5" customHeight="1">
      <c r="A286" s="8">
        <v>283</v>
      </c>
      <c r="B286" s="9" t="str">
        <f>"651720240604120457128093"</f>
        <v>651720240604120457128093</v>
      </c>
      <c r="C286" s="9" t="s">
        <v>27</v>
      </c>
      <c r="D286" s="9" t="s">
        <v>12</v>
      </c>
      <c r="E286" s="9" t="str">
        <f t="shared" si="26"/>
        <v>240401</v>
      </c>
      <c r="F286" s="9" t="str">
        <f>"黎鹏"</f>
        <v>黎鹏</v>
      </c>
      <c r="G286" s="9" t="str">
        <f>"男"</f>
        <v>男</v>
      </c>
      <c r="H286" s="8"/>
    </row>
    <row r="287" spans="1:8" ht="34.5" customHeight="1">
      <c r="A287" s="8">
        <v>284</v>
      </c>
      <c r="B287" s="9" t="str">
        <f>"651720240604160619129901"</f>
        <v>651720240604160619129901</v>
      </c>
      <c r="C287" s="9" t="s">
        <v>27</v>
      </c>
      <c r="D287" s="9" t="s">
        <v>12</v>
      </c>
      <c r="E287" s="9" t="str">
        <f t="shared" si="26"/>
        <v>240401</v>
      </c>
      <c r="F287" s="9" t="str">
        <f>"曾虹"</f>
        <v>曾虹</v>
      </c>
      <c r="G287" s="9" t="str">
        <f>"女"</f>
        <v>女</v>
      </c>
      <c r="H287" s="8"/>
    </row>
    <row r="288" spans="1:8" ht="34.5" customHeight="1">
      <c r="A288" s="8">
        <v>285</v>
      </c>
      <c r="B288" s="9" t="str">
        <f>"651720240604215550132001"</f>
        <v>651720240604215550132001</v>
      </c>
      <c r="C288" s="9" t="s">
        <v>27</v>
      </c>
      <c r="D288" s="9" t="s">
        <v>12</v>
      </c>
      <c r="E288" s="9" t="str">
        <f t="shared" si="26"/>
        <v>240401</v>
      </c>
      <c r="F288" s="9" t="str">
        <f>"张佳莹"</f>
        <v>张佳莹</v>
      </c>
      <c r="G288" s="9" t="str">
        <f>"女"</f>
        <v>女</v>
      </c>
      <c r="H288" s="8"/>
    </row>
    <row r="289" spans="1:8" ht="34.5" customHeight="1">
      <c r="A289" s="8">
        <v>286</v>
      </c>
      <c r="B289" s="9" t="str">
        <f>"651720240604230343132355"</f>
        <v>651720240604230343132355</v>
      </c>
      <c r="C289" s="9" t="s">
        <v>27</v>
      </c>
      <c r="D289" s="9" t="s">
        <v>12</v>
      </c>
      <c r="E289" s="9" t="str">
        <f t="shared" si="26"/>
        <v>240401</v>
      </c>
      <c r="F289" s="9" t="str">
        <f>"陈小欢"</f>
        <v>陈小欢</v>
      </c>
      <c r="G289" s="9" t="str">
        <f>"女"</f>
        <v>女</v>
      </c>
      <c r="H289" s="8"/>
    </row>
    <row r="290" spans="1:8" ht="34.5" customHeight="1">
      <c r="A290" s="8">
        <v>287</v>
      </c>
      <c r="B290" s="9" t="str">
        <f>"651720240605144412138030"</f>
        <v>651720240605144412138030</v>
      </c>
      <c r="C290" s="9" t="s">
        <v>27</v>
      </c>
      <c r="D290" s="9" t="s">
        <v>12</v>
      </c>
      <c r="E290" s="9" t="str">
        <f t="shared" si="26"/>
        <v>240401</v>
      </c>
      <c r="F290" s="9" t="str">
        <f>"吴惠转"</f>
        <v>吴惠转</v>
      </c>
      <c r="G290" s="9" t="str">
        <f>"女"</f>
        <v>女</v>
      </c>
      <c r="H290" s="8"/>
    </row>
    <row r="291" spans="1:8" ht="34.5" customHeight="1">
      <c r="A291" s="8">
        <v>288</v>
      </c>
      <c r="B291" s="9" t="str">
        <f>"651720240602202941116197"</f>
        <v>651720240602202941116197</v>
      </c>
      <c r="C291" s="9" t="s">
        <v>27</v>
      </c>
      <c r="D291" s="9" t="s">
        <v>12</v>
      </c>
      <c r="E291" s="9" t="str">
        <f t="shared" si="26"/>
        <v>240401</v>
      </c>
      <c r="F291" s="9" t="str">
        <f>"巩嘉伟"</f>
        <v>巩嘉伟</v>
      </c>
      <c r="G291" s="9" t="str">
        <f>"男"</f>
        <v>男</v>
      </c>
      <c r="H291" s="8"/>
    </row>
    <row r="292" spans="1:8" ht="34.5" customHeight="1">
      <c r="A292" s="8">
        <v>289</v>
      </c>
      <c r="B292" s="9" t="str">
        <f>"651720240606114757142508"</f>
        <v>651720240606114757142508</v>
      </c>
      <c r="C292" s="9" t="s">
        <v>27</v>
      </c>
      <c r="D292" s="9" t="s">
        <v>12</v>
      </c>
      <c r="E292" s="9" t="str">
        <f t="shared" si="26"/>
        <v>240401</v>
      </c>
      <c r="F292" s="9" t="str">
        <f>"周舟"</f>
        <v>周舟</v>
      </c>
      <c r="G292" s="9" t="str">
        <f aca="true" t="shared" si="27" ref="G292:G298">"女"</f>
        <v>女</v>
      </c>
      <c r="H292" s="8"/>
    </row>
    <row r="293" spans="1:8" ht="34.5" customHeight="1">
      <c r="A293" s="8">
        <v>290</v>
      </c>
      <c r="B293" s="9" t="str">
        <f>"65172024052910453286948"</f>
        <v>65172024052910453286948</v>
      </c>
      <c r="C293" s="9" t="s">
        <v>27</v>
      </c>
      <c r="D293" s="9" t="s">
        <v>13</v>
      </c>
      <c r="E293" s="9" t="str">
        <f>"240402"</f>
        <v>240402</v>
      </c>
      <c r="F293" s="9" t="str">
        <f>"刘才女"</f>
        <v>刘才女</v>
      </c>
      <c r="G293" s="9" t="str">
        <f t="shared" si="27"/>
        <v>女</v>
      </c>
      <c r="H293" s="8"/>
    </row>
    <row r="294" spans="1:8" ht="34.5" customHeight="1">
      <c r="A294" s="8">
        <v>291</v>
      </c>
      <c r="B294" s="9" t="str">
        <f>"651720240604210407131661"</f>
        <v>651720240604210407131661</v>
      </c>
      <c r="C294" s="9" t="s">
        <v>27</v>
      </c>
      <c r="D294" s="9" t="s">
        <v>13</v>
      </c>
      <c r="E294" s="9" t="str">
        <f>"240402"</f>
        <v>240402</v>
      </c>
      <c r="F294" s="9" t="str">
        <f>"雷晓蕾"</f>
        <v>雷晓蕾</v>
      </c>
      <c r="G294" s="9" t="str">
        <f t="shared" si="27"/>
        <v>女</v>
      </c>
      <c r="H294" s="8"/>
    </row>
    <row r="295" spans="1:8" ht="34.5" customHeight="1">
      <c r="A295" s="8">
        <v>292</v>
      </c>
      <c r="B295" s="9" t="str">
        <f>"651720240605113755135108"</f>
        <v>651720240605113755135108</v>
      </c>
      <c r="C295" s="9" t="s">
        <v>27</v>
      </c>
      <c r="D295" s="9" t="s">
        <v>13</v>
      </c>
      <c r="E295" s="9" t="str">
        <f>"240402"</f>
        <v>240402</v>
      </c>
      <c r="F295" s="9" t="str">
        <f>"吴祥司"</f>
        <v>吴祥司</v>
      </c>
      <c r="G295" s="9" t="str">
        <f t="shared" si="27"/>
        <v>女</v>
      </c>
      <c r="H295" s="8"/>
    </row>
    <row r="296" spans="1:8" ht="34.5" customHeight="1">
      <c r="A296" s="8">
        <v>293</v>
      </c>
      <c r="B296" s="9" t="str">
        <f>"651720240606120929142575"</f>
        <v>651720240606120929142575</v>
      </c>
      <c r="C296" s="9" t="s">
        <v>27</v>
      </c>
      <c r="D296" s="9" t="s">
        <v>13</v>
      </c>
      <c r="E296" s="9" t="str">
        <f>"240402"</f>
        <v>240402</v>
      </c>
      <c r="F296" s="9" t="str">
        <f>"陈宇"</f>
        <v>陈宇</v>
      </c>
      <c r="G296" s="9" t="str">
        <f t="shared" si="27"/>
        <v>女</v>
      </c>
      <c r="H296" s="8"/>
    </row>
    <row r="297" spans="1:8" ht="34.5" customHeight="1">
      <c r="A297" s="8">
        <v>294</v>
      </c>
      <c r="B297" s="9" t="str">
        <f>"65172024052515512876747"</f>
        <v>65172024052515512876747</v>
      </c>
      <c r="C297" s="9" t="s">
        <v>27</v>
      </c>
      <c r="D297" s="9" t="s">
        <v>25</v>
      </c>
      <c r="E297" s="9" t="str">
        <f aca="true" t="shared" si="28" ref="E297:E307">"240403"</f>
        <v>240403</v>
      </c>
      <c r="F297" s="9" t="str">
        <f>"陈文云"</f>
        <v>陈文云</v>
      </c>
      <c r="G297" s="9" t="str">
        <f t="shared" si="27"/>
        <v>女</v>
      </c>
      <c r="H297" s="8"/>
    </row>
    <row r="298" spans="1:8" ht="34.5" customHeight="1">
      <c r="A298" s="8">
        <v>295</v>
      </c>
      <c r="B298" s="9" t="str">
        <f>"65172024052711065180035"</f>
        <v>65172024052711065180035</v>
      </c>
      <c r="C298" s="9" t="s">
        <v>27</v>
      </c>
      <c r="D298" s="9" t="s">
        <v>25</v>
      </c>
      <c r="E298" s="9" t="str">
        <f t="shared" si="28"/>
        <v>240403</v>
      </c>
      <c r="F298" s="9" t="str">
        <f>"李涓"</f>
        <v>李涓</v>
      </c>
      <c r="G298" s="9" t="str">
        <f t="shared" si="27"/>
        <v>女</v>
      </c>
      <c r="H298" s="8"/>
    </row>
    <row r="299" spans="1:8" ht="34.5" customHeight="1">
      <c r="A299" s="8">
        <v>296</v>
      </c>
      <c r="B299" s="9" t="str">
        <f>"65172024052721201482399"</f>
        <v>65172024052721201482399</v>
      </c>
      <c r="C299" s="9" t="s">
        <v>27</v>
      </c>
      <c r="D299" s="9" t="s">
        <v>25</v>
      </c>
      <c r="E299" s="9" t="str">
        <f t="shared" si="28"/>
        <v>240403</v>
      </c>
      <c r="F299" s="9" t="str">
        <f>"谢鸿昌"</f>
        <v>谢鸿昌</v>
      </c>
      <c r="G299" s="9" t="str">
        <f>"男"</f>
        <v>男</v>
      </c>
      <c r="H299" s="8"/>
    </row>
    <row r="300" spans="1:8" ht="34.5" customHeight="1">
      <c r="A300" s="8">
        <v>297</v>
      </c>
      <c r="B300" s="9" t="str">
        <f>"65172024052921344690685"</f>
        <v>65172024052921344690685</v>
      </c>
      <c r="C300" s="9" t="s">
        <v>27</v>
      </c>
      <c r="D300" s="9" t="s">
        <v>25</v>
      </c>
      <c r="E300" s="9" t="str">
        <f t="shared" si="28"/>
        <v>240403</v>
      </c>
      <c r="F300" s="9" t="str">
        <f>"孙玉洁"</f>
        <v>孙玉洁</v>
      </c>
      <c r="G300" s="9" t="str">
        <f aca="true" t="shared" si="29" ref="G300:G311">"女"</f>
        <v>女</v>
      </c>
      <c r="H300" s="8"/>
    </row>
    <row r="301" spans="1:8" ht="34.5" customHeight="1">
      <c r="A301" s="8">
        <v>298</v>
      </c>
      <c r="B301" s="9" t="str">
        <f>"65172024052816592384156"</f>
        <v>65172024052816592384156</v>
      </c>
      <c r="C301" s="9" t="s">
        <v>27</v>
      </c>
      <c r="D301" s="9" t="s">
        <v>25</v>
      </c>
      <c r="E301" s="9" t="str">
        <f t="shared" si="28"/>
        <v>240403</v>
      </c>
      <c r="F301" s="9" t="str">
        <f>"门宇璇"</f>
        <v>门宇璇</v>
      </c>
      <c r="G301" s="9" t="str">
        <f t="shared" si="29"/>
        <v>女</v>
      </c>
      <c r="H301" s="8"/>
    </row>
    <row r="302" spans="1:8" ht="34.5" customHeight="1">
      <c r="A302" s="8">
        <v>299</v>
      </c>
      <c r="B302" s="9" t="str">
        <f>"65172024052909341386485"</f>
        <v>65172024052909341386485</v>
      </c>
      <c r="C302" s="9" t="s">
        <v>27</v>
      </c>
      <c r="D302" s="9" t="s">
        <v>25</v>
      </c>
      <c r="E302" s="9" t="str">
        <f t="shared" si="28"/>
        <v>240403</v>
      </c>
      <c r="F302" s="9" t="str">
        <f>"王秋叶"</f>
        <v>王秋叶</v>
      </c>
      <c r="G302" s="9" t="str">
        <f t="shared" si="29"/>
        <v>女</v>
      </c>
      <c r="H302" s="8"/>
    </row>
    <row r="303" spans="1:8" ht="34.5" customHeight="1">
      <c r="A303" s="8">
        <v>300</v>
      </c>
      <c r="B303" s="9" t="str">
        <f>"65172024053022452899517"</f>
        <v>65172024053022452899517</v>
      </c>
      <c r="C303" s="9" t="s">
        <v>27</v>
      </c>
      <c r="D303" s="9" t="s">
        <v>25</v>
      </c>
      <c r="E303" s="9" t="str">
        <f t="shared" si="28"/>
        <v>240403</v>
      </c>
      <c r="F303" s="9" t="str">
        <f>"陈双玉"</f>
        <v>陈双玉</v>
      </c>
      <c r="G303" s="9" t="str">
        <f t="shared" si="29"/>
        <v>女</v>
      </c>
      <c r="H303" s="8"/>
    </row>
    <row r="304" spans="1:8" ht="34.5" customHeight="1">
      <c r="A304" s="8">
        <v>301</v>
      </c>
      <c r="B304" s="9" t="str">
        <f>"651720240603165809123954"</f>
        <v>651720240603165809123954</v>
      </c>
      <c r="C304" s="9" t="s">
        <v>27</v>
      </c>
      <c r="D304" s="9" t="s">
        <v>25</v>
      </c>
      <c r="E304" s="9" t="str">
        <f t="shared" si="28"/>
        <v>240403</v>
      </c>
      <c r="F304" s="9" t="str">
        <f>"杨媛"</f>
        <v>杨媛</v>
      </c>
      <c r="G304" s="9" t="str">
        <f t="shared" si="29"/>
        <v>女</v>
      </c>
      <c r="H304" s="8"/>
    </row>
    <row r="305" spans="1:8" ht="34.5" customHeight="1">
      <c r="A305" s="8">
        <v>302</v>
      </c>
      <c r="B305" s="9" t="str">
        <f>"651720240603155345123149"</f>
        <v>651720240603155345123149</v>
      </c>
      <c r="C305" s="9" t="s">
        <v>27</v>
      </c>
      <c r="D305" s="9" t="s">
        <v>25</v>
      </c>
      <c r="E305" s="9" t="str">
        <f t="shared" si="28"/>
        <v>240403</v>
      </c>
      <c r="F305" s="9" t="str">
        <f>"温蓉竹"</f>
        <v>温蓉竹</v>
      </c>
      <c r="G305" s="9" t="str">
        <f t="shared" si="29"/>
        <v>女</v>
      </c>
      <c r="H305" s="8"/>
    </row>
    <row r="306" spans="1:8" ht="34.5" customHeight="1">
      <c r="A306" s="8">
        <v>303</v>
      </c>
      <c r="B306" s="9" t="str">
        <f>"65172024052710582279988"</f>
        <v>65172024052710582279988</v>
      </c>
      <c r="C306" s="9" t="s">
        <v>27</v>
      </c>
      <c r="D306" s="9" t="s">
        <v>25</v>
      </c>
      <c r="E306" s="9" t="str">
        <f t="shared" si="28"/>
        <v>240403</v>
      </c>
      <c r="F306" s="9" t="str">
        <f>"邹欢"</f>
        <v>邹欢</v>
      </c>
      <c r="G306" s="9" t="str">
        <f t="shared" si="29"/>
        <v>女</v>
      </c>
      <c r="H306" s="8"/>
    </row>
    <row r="307" spans="1:8" ht="34.5" customHeight="1">
      <c r="A307" s="8">
        <v>304</v>
      </c>
      <c r="B307" s="9" t="str">
        <f>"651720240605135040136708"</f>
        <v>651720240605135040136708</v>
      </c>
      <c r="C307" s="9" t="s">
        <v>27</v>
      </c>
      <c r="D307" s="9" t="s">
        <v>25</v>
      </c>
      <c r="E307" s="9" t="str">
        <f t="shared" si="28"/>
        <v>240403</v>
      </c>
      <c r="F307" s="9" t="str">
        <f>"吴秋婷"</f>
        <v>吴秋婷</v>
      </c>
      <c r="G307" s="9" t="str">
        <f t="shared" si="29"/>
        <v>女</v>
      </c>
      <c r="H307" s="8"/>
    </row>
    <row r="308" spans="1:8" ht="34.5" customHeight="1">
      <c r="A308" s="8">
        <v>305</v>
      </c>
      <c r="B308" s="9" t="str">
        <f>"65172024052414060275037"</f>
        <v>65172024052414060275037</v>
      </c>
      <c r="C308" s="9" t="s">
        <v>27</v>
      </c>
      <c r="D308" s="9" t="s">
        <v>29</v>
      </c>
      <c r="E308" s="9" t="str">
        <f aca="true" t="shared" si="30" ref="E308:E317">"240404"</f>
        <v>240404</v>
      </c>
      <c r="F308" s="9" t="str">
        <f>"邢益天"</f>
        <v>邢益天</v>
      </c>
      <c r="G308" s="9" t="str">
        <f t="shared" si="29"/>
        <v>女</v>
      </c>
      <c r="H308" s="8"/>
    </row>
    <row r="309" spans="1:8" ht="34.5" customHeight="1">
      <c r="A309" s="8">
        <v>306</v>
      </c>
      <c r="B309" s="9" t="str">
        <f>"65172024052421445076063"</f>
        <v>65172024052421445076063</v>
      </c>
      <c r="C309" s="9" t="s">
        <v>27</v>
      </c>
      <c r="D309" s="9" t="s">
        <v>29</v>
      </c>
      <c r="E309" s="9" t="str">
        <f t="shared" si="30"/>
        <v>240404</v>
      </c>
      <c r="F309" s="9" t="str">
        <f>"葛旋"</f>
        <v>葛旋</v>
      </c>
      <c r="G309" s="9" t="str">
        <f t="shared" si="29"/>
        <v>女</v>
      </c>
      <c r="H309" s="8"/>
    </row>
    <row r="310" spans="1:8" ht="34.5" customHeight="1">
      <c r="A310" s="8">
        <v>307</v>
      </c>
      <c r="B310" s="9" t="str">
        <f>"65172024053009492792923"</f>
        <v>65172024053009492792923</v>
      </c>
      <c r="C310" s="9" t="s">
        <v>27</v>
      </c>
      <c r="D310" s="9" t="s">
        <v>29</v>
      </c>
      <c r="E310" s="9" t="str">
        <f t="shared" si="30"/>
        <v>240404</v>
      </c>
      <c r="F310" s="9" t="str">
        <f>"赵航"</f>
        <v>赵航</v>
      </c>
      <c r="G310" s="9" t="str">
        <f t="shared" si="29"/>
        <v>女</v>
      </c>
      <c r="H310" s="8"/>
    </row>
    <row r="311" spans="1:8" ht="34.5" customHeight="1">
      <c r="A311" s="8">
        <v>308</v>
      </c>
      <c r="B311" s="9" t="str">
        <f>"651720240601022928109221"</f>
        <v>651720240601022928109221</v>
      </c>
      <c r="C311" s="9" t="s">
        <v>27</v>
      </c>
      <c r="D311" s="9" t="s">
        <v>29</v>
      </c>
      <c r="E311" s="9" t="str">
        <f t="shared" si="30"/>
        <v>240404</v>
      </c>
      <c r="F311" s="9" t="str">
        <f>"朱丹娜"</f>
        <v>朱丹娜</v>
      </c>
      <c r="G311" s="9" t="str">
        <f t="shared" si="29"/>
        <v>女</v>
      </c>
      <c r="H311" s="8"/>
    </row>
    <row r="312" spans="1:8" ht="34.5" customHeight="1">
      <c r="A312" s="8">
        <v>309</v>
      </c>
      <c r="B312" s="9" t="str">
        <f>"651720240601103848109863"</f>
        <v>651720240601103848109863</v>
      </c>
      <c r="C312" s="9" t="s">
        <v>27</v>
      </c>
      <c r="D312" s="9" t="s">
        <v>29</v>
      </c>
      <c r="E312" s="9" t="str">
        <f t="shared" si="30"/>
        <v>240404</v>
      </c>
      <c r="F312" s="9" t="str">
        <f>"李德芳"</f>
        <v>李德芳</v>
      </c>
      <c r="G312" s="9" t="str">
        <f>"男"</f>
        <v>男</v>
      </c>
      <c r="H312" s="8"/>
    </row>
    <row r="313" spans="1:8" ht="34.5" customHeight="1">
      <c r="A313" s="8">
        <v>310</v>
      </c>
      <c r="B313" s="9" t="str">
        <f>"651720240602124648113986"</f>
        <v>651720240602124648113986</v>
      </c>
      <c r="C313" s="9" t="s">
        <v>27</v>
      </c>
      <c r="D313" s="9" t="s">
        <v>29</v>
      </c>
      <c r="E313" s="9" t="str">
        <f t="shared" si="30"/>
        <v>240404</v>
      </c>
      <c r="F313" s="9" t="str">
        <f>"陈欢"</f>
        <v>陈欢</v>
      </c>
      <c r="G313" s="9" t="str">
        <f aca="true" t="shared" si="31" ref="G313:G327">"女"</f>
        <v>女</v>
      </c>
      <c r="H313" s="8"/>
    </row>
    <row r="314" spans="1:8" ht="34.5" customHeight="1">
      <c r="A314" s="8">
        <v>311</v>
      </c>
      <c r="B314" s="9" t="str">
        <f>"65172024052700234678662"</f>
        <v>65172024052700234678662</v>
      </c>
      <c r="C314" s="9" t="s">
        <v>27</v>
      </c>
      <c r="D314" s="9" t="s">
        <v>29</v>
      </c>
      <c r="E314" s="9" t="str">
        <f t="shared" si="30"/>
        <v>240404</v>
      </c>
      <c r="F314" s="9" t="str">
        <f>"郭碧蓉"</f>
        <v>郭碧蓉</v>
      </c>
      <c r="G314" s="9" t="str">
        <f t="shared" si="31"/>
        <v>女</v>
      </c>
      <c r="H314" s="8"/>
    </row>
    <row r="315" spans="1:8" ht="34.5" customHeight="1">
      <c r="A315" s="8">
        <v>312</v>
      </c>
      <c r="B315" s="9" t="str">
        <f>"651720240604110054127545"</f>
        <v>651720240604110054127545</v>
      </c>
      <c r="C315" s="9" t="s">
        <v>27</v>
      </c>
      <c r="D315" s="9" t="s">
        <v>29</v>
      </c>
      <c r="E315" s="9" t="str">
        <f t="shared" si="30"/>
        <v>240404</v>
      </c>
      <c r="F315" s="9" t="str">
        <f>"黄宇婷"</f>
        <v>黄宇婷</v>
      </c>
      <c r="G315" s="9" t="str">
        <f t="shared" si="31"/>
        <v>女</v>
      </c>
      <c r="H315" s="8"/>
    </row>
    <row r="316" spans="1:8" ht="34.5" customHeight="1">
      <c r="A316" s="8">
        <v>313</v>
      </c>
      <c r="B316" s="9" t="str">
        <f>"65172024052411272474620"</f>
        <v>65172024052411272474620</v>
      </c>
      <c r="C316" s="9" t="s">
        <v>27</v>
      </c>
      <c r="D316" s="9" t="s">
        <v>29</v>
      </c>
      <c r="E316" s="9" t="str">
        <f t="shared" si="30"/>
        <v>240404</v>
      </c>
      <c r="F316" s="9" t="str">
        <f>"蔡迎"</f>
        <v>蔡迎</v>
      </c>
      <c r="G316" s="9" t="str">
        <f t="shared" si="31"/>
        <v>女</v>
      </c>
      <c r="H316" s="8"/>
    </row>
    <row r="317" spans="1:8" ht="34.5" customHeight="1">
      <c r="A317" s="8">
        <v>314</v>
      </c>
      <c r="B317" s="9" t="str">
        <f>"65172024052915343488182"</f>
        <v>65172024052915343488182</v>
      </c>
      <c r="C317" s="9" t="s">
        <v>27</v>
      </c>
      <c r="D317" s="9" t="s">
        <v>29</v>
      </c>
      <c r="E317" s="9" t="str">
        <f t="shared" si="30"/>
        <v>240404</v>
      </c>
      <c r="F317" s="9" t="str">
        <f>"王嘉琪"</f>
        <v>王嘉琪</v>
      </c>
      <c r="G317" s="9" t="str">
        <f t="shared" si="31"/>
        <v>女</v>
      </c>
      <c r="H317" s="8"/>
    </row>
    <row r="318" spans="1:8" ht="34.5" customHeight="1">
      <c r="A318" s="8">
        <v>315</v>
      </c>
      <c r="B318" s="9" t="str">
        <f>"65172024052615571077926"</f>
        <v>65172024052615571077926</v>
      </c>
      <c r="C318" s="9" t="s">
        <v>27</v>
      </c>
      <c r="D318" s="9" t="s">
        <v>20</v>
      </c>
      <c r="E318" s="9" t="str">
        <f>"240405"</f>
        <v>240405</v>
      </c>
      <c r="F318" s="9" t="str">
        <f>"樊伟玲"</f>
        <v>樊伟玲</v>
      </c>
      <c r="G318" s="9" t="str">
        <f t="shared" si="31"/>
        <v>女</v>
      </c>
      <c r="H318" s="8"/>
    </row>
    <row r="319" spans="1:8" ht="34.5" customHeight="1">
      <c r="A319" s="8">
        <v>316</v>
      </c>
      <c r="B319" s="9" t="str">
        <f>"65172024053011512194489"</f>
        <v>65172024053011512194489</v>
      </c>
      <c r="C319" s="9" t="s">
        <v>27</v>
      </c>
      <c r="D319" s="9" t="s">
        <v>20</v>
      </c>
      <c r="E319" s="9" t="str">
        <f>"240405"</f>
        <v>240405</v>
      </c>
      <c r="F319" s="9" t="str">
        <f>"黄李娜"</f>
        <v>黄李娜</v>
      </c>
      <c r="G319" s="9" t="str">
        <f t="shared" si="31"/>
        <v>女</v>
      </c>
      <c r="H319" s="8"/>
    </row>
    <row r="320" spans="1:8" ht="34.5" customHeight="1">
      <c r="A320" s="8">
        <v>317</v>
      </c>
      <c r="B320" s="9" t="str">
        <f>"65172024053023110999645"</f>
        <v>65172024053023110999645</v>
      </c>
      <c r="C320" s="9" t="s">
        <v>27</v>
      </c>
      <c r="D320" s="9" t="s">
        <v>20</v>
      </c>
      <c r="E320" s="9" t="str">
        <f>"240405"</f>
        <v>240405</v>
      </c>
      <c r="F320" s="9" t="str">
        <f>"邓雅青"</f>
        <v>邓雅青</v>
      </c>
      <c r="G320" s="9" t="str">
        <f t="shared" si="31"/>
        <v>女</v>
      </c>
      <c r="H320" s="8"/>
    </row>
    <row r="321" spans="1:8" ht="34.5" customHeight="1">
      <c r="A321" s="8">
        <v>318</v>
      </c>
      <c r="B321" s="9" t="str">
        <f>"651720240601202148111992"</f>
        <v>651720240601202148111992</v>
      </c>
      <c r="C321" s="9" t="s">
        <v>27</v>
      </c>
      <c r="D321" s="9" t="s">
        <v>20</v>
      </c>
      <c r="E321" s="9" t="str">
        <f>"240405"</f>
        <v>240405</v>
      </c>
      <c r="F321" s="9" t="str">
        <f>"麦晓欣"</f>
        <v>麦晓欣</v>
      </c>
      <c r="G321" s="9" t="str">
        <f t="shared" si="31"/>
        <v>女</v>
      </c>
      <c r="H321" s="8"/>
    </row>
    <row r="322" spans="1:8" ht="34.5" customHeight="1">
      <c r="A322" s="8">
        <v>319</v>
      </c>
      <c r="B322" s="9" t="str">
        <f>"651720240601173343111475"</f>
        <v>651720240601173343111475</v>
      </c>
      <c r="C322" s="9" t="s">
        <v>27</v>
      </c>
      <c r="D322" s="9" t="s">
        <v>20</v>
      </c>
      <c r="E322" s="9" t="str">
        <f>"240405"</f>
        <v>240405</v>
      </c>
      <c r="F322" s="9" t="str">
        <f>"梁春花"</f>
        <v>梁春花</v>
      </c>
      <c r="G322" s="9" t="str">
        <f t="shared" si="31"/>
        <v>女</v>
      </c>
      <c r="H322" s="8"/>
    </row>
    <row r="323" spans="1:8" ht="34.5" customHeight="1">
      <c r="A323" s="8">
        <v>320</v>
      </c>
      <c r="B323" s="9" t="str">
        <f>"65172024052417162575713"</f>
        <v>65172024052417162575713</v>
      </c>
      <c r="C323" s="9" t="s">
        <v>30</v>
      </c>
      <c r="D323" s="9" t="s">
        <v>31</v>
      </c>
      <c r="E323" s="9" t="str">
        <f>"240406"</f>
        <v>240406</v>
      </c>
      <c r="F323" s="9" t="str">
        <f>"刘丽丽"</f>
        <v>刘丽丽</v>
      </c>
      <c r="G323" s="9" t="str">
        <f t="shared" si="31"/>
        <v>女</v>
      </c>
      <c r="H323" s="8"/>
    </row>
    <row r="324" spans="1:8" ht="34.5" customHeight="1">
      <c r="A324" s="8">
        <v>321</v>
      </c>
      <c r="B324" s="9" t="str">
        <f>"65172024052420213475976"</f>
        <v>65172024052420213475976</v>
      </c>
      <c r="C324" s="9" t="s">
        <v>30</v>
      </c>
      <c r="D324" s="9" t="s">
        <v>31</v>
      </c>
      <c r="E324" s="9" t="str">
        <f>"240406"</f>
        <v>240406</v>
      </c>
      <c r="F324" s="9" t="str">
        <f>"陈莉"</f>
        <v>陈莉</v>
      </c>
      <c r="G324" s="9" t="str">
        <f t="shared" si="31"/>
        <v>女</v>
      </c>
      <c r="H324" s="8"/>
    </row>
    <row r="325" spans="1:8" ht="34.5" customHeight="1">
      <c r="A325" s="8">
        <v>322</v>
      </c>
      <c r="B325" s="9" t="str">
        <f>"65172024052617302178072"</f>
        <v>65172024052617302178072</v>
      </c>
      <c r="C325" s="9" t="s">
        <v>30</v>
      </c>
      <c r="D325" s="9" t="s">
        <v>31</v>
      </c>
      <c r="E325" s="9" t="str">
        <f>"240406"</f>
        <v>240406</v>
      </c>
      <c r="F325" s="9" t="str">
        <f>"马燕飞"</f>
        <v>马燕飞</v>
      </c>
      <c r="G325" s="9" t="str">
        <f t="shared" si="31"/>
        <v>女</v>
      </c>
      <c r="H325" s="8"/>
    </row>
    <row r="326" spans="1:8" ht="34.5" customHeight="1">
      <c r="A326" s="8">
        <v>323</v>
      </c>
      <c r="B326" s="9" t="str">
        <f>"651720240601220637112426"</f>
        <v>651720240601220637112426</v>
      </c>
      <c r="C326" s="9" t="s">
        <v>30</v>
      </c>
      <c r="D326" s="9" t="s">
        <v>31</v>
      </c>
      <c r="E326" s="9" t="str">
        <f>"240406"</f>
        <v>240406</v>
      </c>
      <c r="F326" s="9" t="str">
        <f>"丰华欣"</f>
        <v>丰华欣</v>
      </c>
      <c r="G326" s="9" t="str">
        <f t="shared" si="31"/>
        <v>女</v>
      </c>
      <c r="H326" s="8"/>
    </row>
    <row r="327" spans="1:8" ht="34.5" customHeight="1">
      <c r="A327" s="8">
        <v>324</v>
      </c>
      <c r="B327" s="9" t="str">
        <f>"651720240604093550126644"</f>
        <v>651720240604093550126644</v>
      </c>
      <c r="C327" s="9" t="s">
        <v>30</v>
      </c>
      <c r="D327" s="9" t="s">
        <v>31</v>
      </c>
      <c r="E327" s="9" t="str">
        <f>"240406"</f>
        <v>240406</v>
      </c>
      <c r="F327" s="9" t="str">
        <f>"秦有晶"</f>
        <v>秦有晶</v>
      </c>
      <c r="G327" s="9" t="str">
        <f t="shared" si="31"/>
        <v>女</v>
      </c>
      <c r="H327" s="8"/>
    </row>
    <row r="328" spans="1:8" ht="34.5" customHeight="1">
      <c r="A328" s="8">
        <v>325</v>
      </c>
      <c r="B328" s="9" t="str">
        <f>"65172024052409090674042"</f>
        <v>65172024052409090674042</v>
      </c>
      <c r="C328" s="9" t="s">
        <v>30</v>
      </c>
      <c r="D328" s="9" t="s">
        <v>32</v>
      </c>
      <c r="E328" s="9" t="str">
        <f aca="true" t="shared" si="32" ref="E328:E335">"240407"</f>
        <v>240407</v>
      </c>
      <c r="F328" s="9" t="str">
        <f>"夏江鹏"</f>
        <v>夏江鹏</v>
      </c>
      <c r="G328" s="9" t="str">
        <f>"男"</f>
        <v>男</v>
      </c>
      <c r="H328" s="8"/>
    </row>
    <row r="329" spans="1:8" ht="34.5" customHeight="1">
      <c r="A329" s="8">
        <v>326</v>
      </c>
      <c r="B329" s="9" t="str">
        <f>"65172024052518281876927"</f>
        <v>65172024052518281876927</v>
      </c>
      <c r="C329" s="9" t="s">
        <v>30</v>
      </c>
      <c r="D329" s="9" t="s">
        <v>32</v>
      </c>
      <c r="E329" s="9" t="str">
        <f t="shared" si="32"/>
        <v>240407</v>
      </c>
      <c r="F329" s="9" t="str">
        <f>"万伟志"</f>
        <v>万伟志</v>
      </c>
      <c r="G329" s="9" t="str">
        <f>"男"</f>
        <v>男</v>
      </c>
      <c r="H329" s="8"/>
    </row>
    <row r="330" spans="1:8" ht="34.5" customHeight="1">
      <c r="A330" s="8">
        <v>327</v>
      </c>
      <c r="B330" s="9" t="str">
        <f>"65172024052518340676940"</f>
        <v>65172024052518340676940</v>
      </c>
      <c r="C330" s="9" t="s">
        <v>30</v>
      </c>
      <c r="D330" s="9" t="s">
        <v>32</v>
      </c>
      <c r="E330" s="9" t="str">
        <f t="shared" si="32"/>
        <v>240407</v>
      </c>
      <c r="F330" s="9" t="str">
        <f>"吉训赛"</f>
        <v>吉训赛</v>
      </c>
      <c r="G330" s="9" t="str">
        <f>"男"</f>
        <v>男</v>
      </c>
      <c r="H330" s="8"/>
    </row>
    <row r="331" spans="1:8" ht="34.5" customHeight="1">
      <c r="A331" s="8">
        <v>328</v>
      </c>
      <c r="B331" s="9" t="str">
        <f>"651720240531130656102492"</f>
        <v>651720240531130656102492</v>
      </c>
      <c r="C331" s="9" t="s">
        <v>30</v>
      </c>
      <c r="D331" s="9" t="s">
        <v>32</v>
      </c>
      <c r="E331" s="9" t="str">
        <f t="shared" si="32"/>
        <v>240407</v>
      </c>
      <c r="F331" s="9" t="str">
        <f>"杨名杰"</f>
        <v>杨名杰</v>
      </c>
      <c r="G331" s="9" t="str">
        <f>"男"</f>
        <v>男</v>
      </c>
      <c r="H331" s="8"/>
    </row>
    <row r="332" spans="1:8" ht="34.5" customHeight="1">
      <c r="A332" s="8">
        <v>329</v>
      </c>
      <c r="B332" s="9" t="str">
        <f>"65172024052413172374933"</f>
        <v>65172024052413172374933</v>
      </c>
      <c r="C332" s="9" t="s">
        <v>30</v>
      </c>
      <c r="D332" s="9" t="s">
        <v>32</v>
      </c>
      <c r="E332" s="9" t="str">
        <f t="shared" si="32"/>
        <v>240407</v>
      </c>
      <c r="F332" s="9" t="str">
        <f>"王文勋"</f>
        <v>王文勋</v>
      </c>
      <c r="G332" s="9" t="str">
        <f>"男"</f>
        <v>男</v>
      </c>
      <c r="H332" s="8"/>
    </row>
    <row r="333" spans="1:8" ht="34.5" customHeight="1">
      <c r="A333" s="8">
        <v>330</v>
      </c>
      <c r="B333" s="9" t="str">
        <f>"65172024052509271776273"</f>
        <v>65172024052509271776273</v>
      </c>
      <c r="C333" s="9" t="s">
        <v>30</v>
      </c>
      <c r="D333" s="9" t="s">
        <v>32</v>
      </c>
      <c r="E333" s="9" t="str">
        <f t="shared" si="32"/>
        <v>240407</v>
      </c>
      <c r="F333" s="9" t="str">
        <f>"梁舒慧"</f>
        <v>梁舒慧</v>
      </c>
      <c r="G333" s="9" t="str">
        <f>"女"</f>
        <v>女</v>
      </c>
      <c r="H333" s="8"/>
    </row>
    <row r="334" spans="1:8" ht="34.5" customHeight="1">
      <c r="A334" s="8">
        <v>331</v>
      </c>
      <c r="B334" s="9" t="str">
        <f>"65172024052811583783445"</f>
        <v>65172024052811583783445</v>
      </c>
      <c r="C334" s="9" t="s">
        <v>30</v>
      </c>
      <c r="D334" s="9" t="s">
        <v>32</v>
      </c>
      <c r="E334" s="9" t="str">
        <f t="shared" si="32"/>
        <v>240407</v>
      </c>
      <c r="F334" s="9" t="str">
        <f>"黄乐"</f>
        <v>黄乐</v>
      </c>
      <c r="G334" s="9" t="str">
        <f>"女"</f>
        <v>女</v>
      </c>
      <c r="H334" s="8"/>
    </row>
    <row r="335" spans="1:8" ht="34.5" customHeight="1">
      <c r="A335" s="8">
        <v>332</v>
      </c>
      <c r="B335" s="9" t="str">
        <f>"651720240605191005140384"</f>
        <v>651720240605191005140384</v>
      </c>
      <c r="C335" s="9" t="s">
        <v>30</v>
      </c>
      <c r="D335" s="9" t="s">
        <v>32</v>
      </c>
      <c r="E335" s="9" t="str">
        <f t="shared" si="32"/>
        <v>240407</v>
      </c>
      <c r="F335" s="9" t="str">
        <f>"符泰"</f>
        <v>符泰</v>
      </c>
      <c r="G335" s="9" t="str">
        <f>"男"</f>
        <v>男</v>
      </c>
      <c r="H335" s="8"/>
    </row>
    <row r="336" spans="1:8" ht="34.5" customHeight="1">
      <c r="A336" s="8">
        <v>333</v>
      </c>
      <c r="B336" s="9" t="str">
        <f>"65172024052618124278122"</f>
        <v>65172024052618124278122</v>
      </c>
      <c r="C336" s="9" t="s">
        <v>30</v>
      </c>
      <c r="D336" s="9" t="s">
        <v>33</v>
      </c>
      <c r="E336" s="9" t="str">
        <f>"240409"</f>
        <v>240409</v>
      </c>
      <c r="F336" s="9" t="str">
        <f>"李萍"</f>
        <v>李萍</v>
      </c>
      <c r="G336" s="9" t="str">
        <f>"女"</f>
        <v>女</v>
      </c>
      <c r="H336" s="8"/>
    </row>
    <row r="337" spans="1:8" ht="34.5" customHeight="1">
      <c r="A337" s="8">
        <v>334</v>
      </c>
      <c r="B337" s="9" t="str">
        <f>"651720240531223334108850"</f>
        <v>651720240531223334108850</v>
      </c>
      <c r="C337" s="9" t="s">
        <v>30</v>
      </c>
      <c r="D337" s="9" t="s">
        <v>33</v>
      </c>
      <c r="E337" s="9" t="str">
        <f>"240409"</f>
        <v>240409</v>
      </c>
      <c r="F337" s="9" t="str">
        <f>"林兰宇"</f>
        <v>林兰宇</v>
      </c>
      <c r="G337" s="9" t="str">
        <f>"男"</f>
        <v>男</v>
      </c>
      <c r="H337" s="8"/>
    </row>
    <row r="338" spans="1:8" ht="34.5" customHeight="1">
      <c r="A338" s="8">
        <v>335</v>
      </c>
      <c r="B338" s="9" t="str">
        <f>"651720240601125426110364"</f>
        <v>651720240601125426110364</v>
      </c>
      <c r="C338" s="9" t="s">
        <v>30</v>
      </c>
      <c r="D338" s="9" t="s">
        <v>33</v>
      </c>
      <c r="E338" s="9" t="str">
        <f>"240409"</f>
        <v>240409</v>
      </c>
      <c r="F338" s="9" t="str">
        <f>"奚晗"</f>
        <v>奚晗</v>
      </c>
      <c r="G338" s="9" t="str">
        <f>"女"</f>
        <v>女</v>
      </c>
      <c r="H338" s="8"/>
    </row>
    <row r="339" spans="1:8" ht="34.5" customHeight="1">
      <c r="A339" s="8">
        <v>336</v>
      </c>
      <c r="B339" s="9" t="str">
        <f>"651720240531133541102653"</f>
        <v>651720240531133541102653</v>
      </c>
      <c r="C339" s="9" t="s">
        <v>34</v>
      </c>
      <c r="D339" s="9" t="s">
        <v>35</v>
      </c>
      <c r="E339" s="9" t="str">
        <f aca="true" t="shared" si="33" ref="E339:E348">"240501"</f>
        <v>240501</v>
      </c>
      <c r="F339" s="9" t="str">
        <f>"李应才"</f>
        <v>李应才</v>
      </c>
      <c r="G339" s="9" t="str">
        <f>"男"</f>
        <v>男</v>
      </c>
      <c r="H339" s="8"/>
    </row>
    <row r="340" spans="1:8" ht="34.5" customHeight="1">
      <c r="A340" s="8">
        <v>337</v>
      </c>
      <c r="B340" s="9" t="str">
        <f>"651720240601220515112419"</f>
        <v>651720240601220515112419</v>
      </c>
      <c r="C340" s="9" t="s">
        <v>34</v>
      </c>
      <c r="D340" s="9" t="s">
        <v>35</v>
      </c>
      <c r="E340" s="9" t="str">
        <f t="shared" si="33"/>
        <v>240501</v>
      </c>
      <c r="F340" s="9" t="str">
        <f>"符洁颖"</f>
        <v>符洁颖</v>
      </c>
      <c r="G340" s="9" t="str">
        <f aca="true" t="shared" si="34" ref="G340:G346">"女"</f>
        <v>女</v>
      </c>
      <c r="H340" s="8"/>
    </row>
    <row r="341" spans="1:8" ht="34.5" customHeight="1">
      <c r="A341" s="8">
        <v>338</v>
      </c>
      <c r="B341" s="9" t="str">
        <f>"651720240602075155112953"</f>
        <v>651720240602075155112953</v>
      </c>
      <c r="C341" s="9" t="s">
        <v>34</v>
      </c>
      <c r="D341" s="9" t="s">
        <v>35</v>
      </c>
      <c r="E341" s="9" t="str">
        <f t="shared" si="33"/>
        <v>240501</v>
      </c>
      <c r="F341" s="9" t="str">
        <f>"黎禧姿"</f>
        <v>黎禧姿</v>
      </c>
      <c r="G341" s="9" t="str">
        <f t="shared" si="34"/>
        <v>女</v>
      </c>
      <c r="H341" s="8"/>
    </row>
    <row r="342" spans="1:8" ht="34.5" customHeight="1">
      <c r="A342" s="8">
        <v>339</v>
      </c>
      <c r="B342" s="9" t="str">
        <f>"65172024052719450782106"</f>
        <v>65172024052719450782106</v>
      </c>
      <c r="C342" s="9" t="s">
        <v>34</v>
      </c>
      <c r="D342" s="9" t="s">
        <v>35</v>
      </c>
      <c r="E342" s="9" t="str">
        <f t="shared" si="33"/>
        <v>240501</v>
      </c>
      <c r="F342" s="9" t="str">
        <f>"吴文可"</f>
        <v>吴文可</v>
      </c>
      <c r="G342" s="9" t="str">
        <f t="shared" si="34"/>
        <v>女</v>
      </c>
      <c r="H342" s="8"/>
    </row>
    <row r="343" spans="1:8" ht="34.5" customHeight="1">
      <c r="A343" s="8">
        <v>340</v>
      </c>
      <c r="B343" s="9" t="str">
        <f>"651720240604151832129401"</f>
        <v>651720240604151832129401</v>
      </c>
      <c r="C343" s="9" t="s">
        <v>34</v>
      </c>
      <c r="D343" s="9" t="s">
        <v>35</v>
      </c>
      <c r="E343" s="9" t="str">
        <f t="shared" si="33"/>
        <v>240501</v>
      </c>
      <c r="F343" s="9" t="str">
        <f>"冯贝贝"</f>
        <v>冯贝贝</v>
      </c>
      <c r="G343" s="9" t="str">
        <f t="shared" si="34"/>
        <v>女</v>
      </c>
      <c r="H343" s="8"/>
    </row>
    <row r="344" spans="1:8" ht="34.5" customHeight="1">
      <c r="A344" s="8">
        <v>341</v>
      </c>
      <c r="B344" s="9" t="str">
        <f>"65172024052720561182323"</f>
        <v>65172024052720561182323</v>
      </c>
      <c r="C344" s="9" t="s">
        <v>34</v>
      </c>
      <c r="D344" s="9" t="s">
        <v>35</v>
      </c>
      <c r="E344" s="9" t="str">
        <f t="shared" si="33"/>
        <v>240501</v>
      </c>
      <c r="F344" s="9" t="str">
        <f>"林爽"</f>
        <v>林爽</v>
      </c>
      <c r="G344" s="9" t="str">
        <f t="shared" si="34"/>
        <v>女</v>
      </c>
      <c r="H344" s="8"/>
    </row>
    <row r="345" spans="1:8" ht="34.5" customHeight="1">
      <c r="A345" s="8">
        <v>342</v>
      </c>
      <c r="B345" s="9" t="str">
        <f>"65172024053013582195436"</f>
        <v>65172024053013582195436</v>
      </c>
      <c r="C345" s="9" t="s">
        <v>34</v>
      </c>
      <c r="D345" s="9" t="s">
        <v>35</v>
      </c>
      <c r="E345" s="9" t="str">
        <f t="shared" si="33"/>
        <v>240501</v>
      </c>
      <c r="F345" s="9" t="str">
        <f>"刘依华"</f>
        <v>刘依华</v>
      </c>
      <c r="G345" s="9" t="str">
        <f t="shared" si="34"/>
        <v>女</v>
      </c>
      <c r="H345" s="8"/>
    </row>
    <row r="346" spans="1:8" ht="34.5" customHeight="1">
      <c r="A346" s="8">
        <v>343</v>
      </c>
      <c r="B346" s="9" t="str">
        <f>"651720240605212101140908"</f>
        <v>651720240605212101140908</v>
      </c>
      <c r="C346" s="9" t="s">
        <v>34</v>
      </c>
      <c r="D346" s="9" t="s">
        <v>35</v>
      </c>
      <c r="E346" s="9" t="str">
        <f t="shared" si="33"/>
        <v>240501</v>
      </c>
      <c r="F346" s="9" t="str">
        <f>"郭佳敏"</f>
        <v>郭佳敏</v>
      </c>
      <c r="G346" s="9" t="str">
        <f t="shared" si="34"/>
        <v>女</v>
      </c>
      <c r="H346" s="8"/>
    </row>
    <row r="347" spans="1:8" ht="34.5" customHeight="1">
      <c r="A347" s="8">
        <v>344</v>
      </c>
      <c r="B347" s="9" t="str">
        <f>"651720240605221047141140"</f>
        <v>651720240605221047141140</v>
      </c>
      <c r="C347" s="9" t="s">
        <v>34</v>
      </c>
      <c r="D347" s="9" t="s">
        <v>35</v>
      </c>
      <c r="E347" s="9" t="str">
        <f t="shared" si="33"/>
        <v>240501</v>
      </c>
      <c r="F347" s="9" t="str">
        <f>"郑义烨"</f>
        <v>郑义烨</v>
      </c>
      <c r="G347" s="9" t="str">
        <f>"男"</f>
        <v>男</v>
      </c>
      <c r="H347" s="8"/>
    </row>
    <row r="348" spans="1:8" ht="34.5" customHeight="1">
      <c r="A348" s="8">
        <v>345</v>
      </c>
      <c r="B348" s="9" t="str">
        <f>"651720240606113313142467"</f>
        <v>651720240606113313142467</v>
      </c>
      <c r="C348" s="9" t="s">
        <v>34</v>
      </c>
      <c r="D348" s="9" t="s">
        <v>35</v>
      </c>
      <c r="E348" s="9" t="str">
        <f t="shared" si="33"/>
        <v>240501</v>
      </c>
      <c r="F348" s="9" t="str">
        <f>"钟梨桂"</f>
        <v>钟梨桂</v>
      </c>
      <c r="G348" s="9" t="str">
        <f aca="true" t="shared" si="35" ref="G348:G353">"女"</f>
        <v>女</v>
      </c>
      <c r="H348" s="8"/>
    </row>
    <row r="349" spans="1:8" ht="34.5" customHeight="1">
      <c r="A349" s="8">
        <v>346</v>
      </c>
      <c r="B349" s="9" t="str">
        <f>"65172024052523162377256"</f>
        <v>65172024052523162377256</v>
      </c>
      <c r="C349" s="9" t="s">
        <v>34</v>
      </c>
      <c r="D349" s="9" t="s">
        <v>36</v>
      </c>
      <c r="E349" s="9" t="str">
        <f aca="true" t="shared" si="36" ref="E349:E355">"240502"</f>
        <v>240502</v>
      </c>
      <c r="F349" s="9" t="str">
        <f>"张颂昕"</f>
        <v>张颂昕</v>
      </c>
      <c r="G349" s="9" t="str">
        <f t="shared" si="35"/>
        <v>女</v>
      </c>
      <c r="H349" s="8"/>
    </row>
    <row r="350" spans="1:8" ht="34.5" customHeight="1">
      <c r="A350" s="8">
        <v>347</v>
      </c>
      <c r="B350" s="9" t="str">
        <f>"65172024052721551582508"</f>
        <v>65172024052721551582508</v>
      </c>
      <c r="C350" s="9" t="s">
        <v>34</v>
      </c>
      <c r="D350" s="9" t="s">
        <v>36</v>
      </c>
      <c r="E350" s="9" t="str">
        <f t="shared" si="36"/>
        <v>240502</v>
      </c>
      <c r="F350" s="9" t="str">
        <f>"曾娜"</f>
        <v>曾娜</v>
      </c>
      <c r="G350" s="9" t="str">
        <f t="shared" si="35"/>
        <v>女</v>
      </c>
      <c r="H350" s="8"/>
    </row>
    <row r="351" spans="1:8" ht="34.5" customHeight="1">
      <c r="A351" s="8">
        <v>348</v>
      </c>
      <c r="B351" s="9" t="str">
        <f>"651720240531182838107775"</f>
        <v>651720240531182838107775</v>
      </c>
      <c r="C351" s="9" t="s">
        <v>34</v>
      </c>
      <c r="D351" s="9" t="s">
        <v>36</v>
      </c>
      <c r="E351" s="9" t="str">
        <f t="shared" si="36"/>
        <v>240502</v>
      </c>
      <c r="F351" s="9" t="str">
        <f>"郑雪荷"</f>
        <v>郑雪荷</v>
      </c>
      <c r="G351" s="9" t="str">
        <f t="shared" si="35"/>
        <v>女</v>
      </c>
      <c r="H351" s="8"/>
    </row>
    <row r="352" spans="1:8" ht="34.5" customHeight="1">
      <c r="A352" s="8">
        <v>349</v>
      </c>
      <c r="B352" s="9" t="str">
        <f>"651720240602133351114178"</f>
        <v>651720240602133351114178</v>
      </c>
      <c r="C352" s="9" t="s">
        <v>34</v>
      </c>
      <c r="D352" s="9" t="s">
        <v>36</v>
      </c>
      <c r="E352" s="9" t="str">
        <f t="shared" si="36"/>
        <v>240502</v>
      </c>
      <c r="F352" s="9" t="str">
        <f>"王文善"</f>
        <v>王文善</v>
      </c>
      <c r="G352" s="9" t="str">
        <f t="shared" si="35"/>
        <v>女</v>
      </c>
      <c r="H352" s="8"/>
    </row>
    <row r="353" spans="1:8" ht="34.5" customHeight="1">
      <c r="A353" s="8">
        <v>350</v>
      </c>
      <c r="B353" s="9" t="str">
        <f>"651720240602012735112850"</f>
        <v>651720240602012735112850</v>
      </c>
      <c r="C353" s="9" t="s">
        <v>34</v>
      </c>
      <c r="D353" s="9" t="s">
        <v>36</v>
      </c>
      <c r="E353" s="9" t="str">
        <f t="shared" si="36"/>
        <v>240502</v>
      </c>
      <c r="F353" s="9" t="str">
        <f>"林丽"</f>
        <v>林丽</v>
      </c>
      <c r="G353" s="9" t="str">
        <f t="shared" si="35"/>
        <v>女</v>
      </c>
      <c r="H353" s="8"/>
    </row>
    <row r="354" spans="1:8" ht="34.5" customHeight="1">
      <c r="A354" s="8">
        <v>351</v>
      </c>
      <c r="B354" s="9" t="str">
        <f>"65172024053020184798571"</f>
        <v>65172024053020184798571</v>
      </c>
      <c r="C354" s="9" t="s">
        <v>34</v>
      </c>
      <c r="D354" s="9" t="s">
        <v>36</v>
      </c>
      <c r="E354" s="9" t="str">
        <f t="shared" si="36"/>
        <v>240502</v>
      </c>
      <c r="F354" s="9" t="str">
        <f>"安文裕"</f>
        <v>安文裕</v>
      </c>
      <c r="G354" s="9" t="str">
        <f>"男"</f>
        <v>男</v>
      </c>
      <c r="H354" s="8"/>
    </row>
    <row r="355" spans="1:8" ht="34.5" customHeight="1">
      <c r="A355" s="8">
        <v>352</v>
      </c>
      <c r="B355" s="9" t="str">
        <f>"651720240603163331123681"</f>
        <v>651720240603163331123681</v>
      </c>
      <c r="C355" s="9" t="s">
        <v>34</v>
      </c>
      <c r="D355" s="9" t="s">
        <v>36</v>
      </c>
      <c r="E355" s="9" t="str">
        <f t="shared" si="36"/>
        <v>240502</v>
      </c>
      <c r="F355" s="9" t="str">
        <f>"李如妹"</f>
        <v>李如妹</v>
      </c>
      <c r="G355" s="9" t="str">
        <f>"女"</f>
        <v>女</v>
      </c>
      <c r="H355" s="8"/>
    </row>
    <row r="356" spans="1:8" ht="34.5" customHeight="1">
      <c r="A356" s="8">
        <v>353</v>
      </c>
      <c r="B356" s="9" t="str">
        <f>"65172024052409192574094"</f>
        <v>65172024052409192574094</v>
      </c>
      <c r="C356" s="9" t="s">
        <v>34</v>
      </c>
      <c r="D356" s="9" t="s">
        <v>37</v>
      </c>
      <c r="E356" s="9" t="str">
        <f>"240503"</f>
        <v>240503</v>
      </c>
      <c r="F356" s="9" t="str">
        <f>"邢景睿"</f>
        <v>邢景睿</v>
      </c>
      <c r="G356" s="9" t="str">
        <f>"男"</f>
        <v>男</v>
      </c>
      <c r="H356" s="8"/>
    </row>
    <row r="357" spans="1:8" ht="34.5" customHeight="1">
      <c r="A357" s="8">
        <v>354</v>
      </c>
      <c r="B357" s="9" t="str">
        <f>"65172024052512531176530"</f>
        <v>65172024052512531176530</v>
      </c>
      <c r="C357" s="9" t="s">
        <v>34</v>
      </c>
      <c r="D357" s="9" t="s">
        <v>37</v>
      </c>
      <c r="E357" s="9" t="str">
        <f>"240503"</f>
        <v>240503</v>
      </c>
      <c r="F357" s="9" t="str">
        <f>"岑选琦"</f>
        <v>岑选琦</v>
      </c>
      <c r="G357" s="9" t="str">
        <f>"女"</f>
        <v>女</v>
      </c>
      <c r="H357" s="8"/>
    </row>
    <row r="358" spans="1:8" ht="34.5" customHeight="1">
      <c r="A358" s="8">
        <v>355</v>
      </c>
      <c r="B358" s="9" t="str">
        <f>"65172024052619121478189"</f>
        <v>65172024052619121478189</v>
      </c>
      <c r="C358" s="9" t="s">
        <v>34</v>
      </c>
      <c r="D358" s="9" t="s">
        <v>37</v>
      </c>
      <c r="E358" s="9" t="str">
        <f>"240503"</f>
        <v>240503</v>
      </c>
      <c r="F358" s="9" t="str">
        <f>"贾若怡"</f>
        <v>贾若怡</v>
      </c>
      <c r="G358" s="9" t="str">
        <f>"女"</f>
        <v>女</v>
      </c>
      <c r="H358" s="8"/>
    </row>
    <row r="359" spans="1:8" ht="34.5" customHeight="1">
      <c r="A359" s="8">
        <v>356</v>
      </c>
      <c r="B359" s="9" t="str">
        <f>"651720240601133013110506"</f>
        <v>651720240601133013110506</v>
      </c>
      <c r="C359" s="9" t="s">
        <v>34</v>
      </c>
      <c r="D359" s="9" t="s">
        <v>37</v>
      </c>
      <c r="E359" s="9" t="str">
        <f>"240503"</f>
        <v>240503</v>
      </c>
      <c r="F359" s="9" t="str">
        <f>"韦明李"</f>
        <v>韦明李</v>
      </c>
      <c r="G359" s="9" t="str">
        <f>"男"</f>
        <v>男</v>
      </c>
      <c r="H359" s="8"/>
    </row>
    <row r="360" spans="1:8" ht="34.5" customHeight="1">
      <c r="A360" s="8">
        <v>357</v>
      </c>
      <c r="B360" s="9" t="str">
        <f>"651720240605112842135055"</f>
        <v>651720240605112842135055</v>
      </c>
      <c r="C360" s="9" t="s">
        <v>34</v>
      </c>
      <c r="D360" s="9" t="s">
        <v>37</v>
      </c>
      <c r="E360" s="9" t="str">
        <f>"240503"</f>
        <v>240503</v>
      </c>
      <c r="F360" s="9" t="str">
        <f>"刘宁"</f>
        <v>刘宁</v>
      </c>
      <c r="G360" s="9" t="str">
        <f>"男"</f>
        <v>男</v>
      </c>
      <c r="H360" s="8"/>
    </row>
    <row r="361" spans="1:8" ht="34.5" customHeight="1">
      <c r="A361" s="8">
        <v>358</v>
      </c>
      <c r="B361" s="9" t="str">
        <f>"65172024052414114875056"</f>
        <v>65172024052414114875056</v>
      </c>
      <c r="C361" s="9" t="s">
        <v>38</v>
      </c>
      <c r="D361" s="9" t="s">
        <v>39</v>
      </c>
      <c r="E361" s="9" t="str">
        <f aca="true" t="shared" si="37" ref="E361:E389">"240601"</f>
        <v>240601</v>
      </c>
      <c r="F361" s="9" t="str">
        <f>"刘佩"</f>
        <v>刘佩</v>
      </c>
      <c r="G361" s="9" t="str">
        <f aca="true" t="shared" si="38" ref="G361:G382">"女"</f>
        <v>女</v>
      </c>
      <c r="H361" s="8"/>
    </row>
    <row r="362" spans="1:8" ht="34.5" customHeight="1">
      <c r="A362" s="8">
        <v>359</v>
      </c>
      <c r="B362" s="9" t="str">
        <f>"65172024052418294975852"</f>
        <v>65172024052418294975852</v>
      </c>
      <c r="C362" s="9" t="s">
        <v>38</v>
      </c>
      <c r="D362" s="9" t="s">
        <v>39</v>
      </c>
      <c r="E362" s="9" t="str">
        <f t="shared" si="37"/>
        <v>240601</v>
      </c>
      <c r="F362" s="9" t="str">
        <f>"张进珠"</f>
        <v>张进珠</v>
      </c>
      <c r="G362" s="9" t="str">
        <f t="shared" si="38"/>
        <v>女</v>
      </c>
      <c r="H362" s="8"/>
    </row>
    <row r="363" spans="1:8" ht="34.5" customHeight="1">
      <c r="A363" s="8">
        <v>360</v>
      </c>
      <c r="B363" s="9" t="str">
        <f>"65172024052613044677678"</f>
        <v>65172024052613044677678</v>
      </c>
      <c r="C363" s="9" t="s">
        <v>38</v>
      </c>
      <c r="D363" s="9" t="s">
        <v>39</v>
      </c>
      <c r="E363" s="9" t="str">
        <f t="shared" si="37"/>
        <v>240601</v>
      </c>
      <c r="F363" s="9" t="str">
        <f>"胡雪雯"</f>
        <v>胡雪雯</v>
      </c>
      <c r="G363" s="9" t="str">
        <f t="shared" si="38"/>
        <v>女</v>
      </c>
      <c r="H363" s="8"/>
    </row>
    <row r="364" spans="1:8" ht="34.5" customHeight="1">
      <c r="A364" s="8">
        <v>361</v>
      </c>
      <c r="B364" s="9" t="str">
        <f>"65172024052719034782020"</f>
        <v>65172024052719034782020</v>
      </c>
      <c r="C364" s="9" t="s">
        <v>38</v>
      </c>
      <c r="D364" s="9" t="s">
        <v>39</v>
      </c>
      <c r="E364" s="9" t="str">
        <f t="shared" si="37"/>
        <v>240601</v>
      </c>
      <c r="F364" s="9" t="str">
        <f>"黄菲"</f>
        <v>黄菲</v>
      </c>
      <c r="G364" s="9" t="str">
        <f t="shared" si="38"/>
        <v>女</v>
      </c>
      <c r="H364" s="8"/>
    </row>
    <row r="365" spans="1:8" ht="34.5" customHeight="1">
      <c r="A365" s="8">
        <v>362</v>
      </c>
      <c r="B365" s="9" t="str">
        <f>"65172024052722525982650"</f>
        <v>65172024052722525982650</v>
      </c>
      <c r="C365" s="9" t="s">
        <v>38</v>
      </c>
      <c r="D365" s="9" t="s">
        <v>39</v>
      </c>
      <c r="E365" s="9" t="str">
        <f t="shared" si="37"/>
        <v>240601</v>
      </c>
      <c r="F365" s="9" t="str">
        <f>"符莉春"</f>
        <v>符莉春</v>
      </c>
      <c r="G365" s="9" t="str">
        <f t="shared" si="38"/>
        <v>女</v>
      </c>
      <c r="H365" s="8"/>
    </row>
    <row r="366" spans="1:8" ht="34.5" customHeight="1">
      <c r="A366" s="8">
        <v>363</v>
      </c>
      <c r="B366" s="9" t="str">
        <f>"65172024052820451385704"</f>
        <v>65172024052820451385704</v>
      </c>
      <c r="C366" s="9" t="s">
        <v>38</v>
      </c>
      <c r="D366" s="9" t="s">
        <v>39</v>
      </c>
      <c r="E366" s="9" t="str">
        <f t="shared" si="37"/>
        <v>240601</v>
      </c>
      <c r="F366" s="9" t="str">
        <f>"孙佳怡"</f>
        <v>孙佳怡</v>
      </c>
      <c r="G366" s="9" t="str">
        <f t="shared" si="38"/>
        <v>女</v>
      </c>
      <c r="H366" s="8"/>
    </row>
    <row r="367" spans="1:8" ht="34.5" customHeight="1">
      <c r="A367" s="8">
        <v>364</v>
      </c>
      <c r="B367" s="9" t="str">
        <f>"65172024052711322380190"</f>
        <v>65172024052711322380190</v>
      </c>
      <c r="C367" s="9" t="s">
        <v>38</v>
      </c>
      <c r="D367" s="9" t="s">
        <v>39</v>
      </c>
      <c r="E367" s="9" t="str">
        <f t="shared" si="37"/>
        <v>240601</v>
      </c>
      <c r="F367" s="9" t="str">
        <f>"陈项项"</f>
        <v>陈项项</v>
      </c>
      <c r="G367" s="9" t="str">
        <f t="shared" si="38"/>
        <v>女</v>
      </c>
      <c r="H367" s="8"/>
    </row>
    <row r="368" spans="1:8" ht="34.5" customHeight="1">
      <c r="A368" s="8">
        <v>365</v>
      </c>
      <c r="B368" s="9" t="str">
        <f>"65172024052911280887213"</f>
        <v>65172024052911280887213</v>
      </c>
      <c r="C368" s="9" t="s">
        <v>38</v>
      </c>
      <c r="D368" s="9" t="s">
        <v>39</v>
      </c>
      <c r="E368" s="9" t="str">
        <f t="shared" si="37"/>
        <v>240601</v>
      </c>
      <c r="F368" s="9" t="str">
        <f>"董欣怡"</f>
        <v>董欣怡</v>
      </c>
      <c r="G368" s="9" t="str">
        <f t="shared" si="38"/>
        <v>女</v>
      </c>
      <c r="H368" s="8"/>
    </row>
    <row r="369" spans="1:8" ht="34.5" customHeight="1">
      <c r="A369" s="8">
        <v>366</v>
      </c>
      <c r="B369" s="9" t="str">
        <f>"65172024052915434188242"</f>
        <v>65172024052915434188242</v>
      </c>
      <c r="C369" s="9" t="s">
        <v>38</v>
      </c>
      <c r="D369" s="9" t="s">
        <v>39</v>
      </c>
      <c r="E369" s="9" t="str">
        <f t="shared" si="37"/>
        <v>240601</v>
      </c>
      <c r="F369" s="9" t="str">
        <f>"王思明"</f>
        <v>王思明</v>
      </c>
      <c r="G369" s="9" t="str">
        <f t="shared" si="38"/>
        <v>女</v>
      </c>
      <c r="H369" s="8"/>
    </row>
    <row r="370" spans="1:8" ht="34.5" customHeight="1">
      <c r="A370" s="8">
        <v>367</v>
      </c>
      <c r="B370" s="9" t="str">
        <f>"65172024052820174885637"</f>
        <v>65172024052820174885637</v>
      </c>
      <c r="C370" s="9" t="s">
        <v>38</v>
      </c>
      <c r="D370" s="9" t="s">
        <v>39</v>
      </c>
      <c r="E370" s="9" t="str">
        <f t="shared" si="37"/>
        <v>240601</v>
      </c>
      <c r="F370" s="9" t="str">
        <f>"周钰洁"</f>
        <v>周钰洁</v>
      </c>
      <c r="G370" s="9" t="str">
        <f t="shared" si="38"/>
        <v>女</v>
      </c>
      <c r="H370" s="8"/>
    </row>
    <row r="371" spans="1:8" ht="34.5" customHeight="1">
      <c r="A371" s="8">
        <v>368</v>
      </c>
      <c r="B371" s="9" t="str">
        <f>"65172024053015420496434"</f>
        <v>65172024053015420496434</v>
      </c>
      <c r="C371" s="9" t="s">
        <v>38</v>
      </c>
      <c r="D371" s="9" t="s">
        <v>39</v>
      </c>
      <c r="E371" s="9" t="str">
        <f t="shared" si="37"/>
        <v>240601</v>
      </c>
      <c r="F371" s="9" t="str">
        <f>"杨清蓉"</f>
        <v>杨清蓉</v>
      </c>
      <c r="G371" s="9" t="str">
        <f t="shared" si="38"/>
        <v>女</v>
      </c>
      <c r="H371" s="8"/>
    </row>
    <row r="372" spans="1:8" ht="34.5" customHeight="1">
      <c r="A372" s="8">
        <v>369</v>
      </c>
      <c r="B372" s="9" t="str">
        <f>"65172024053016291096954"</f>
        <v>65172024053016291096954</v>
      </c>
      <c r="C372" s="9" t="s">
        <v>38</v>
      </c>
      <c r="D372" s="9" t="s">
        <v>39</v>
      </c>
      <c r="E372" s="9" t="str">
        <f t="shared" si="37"/>
        <v>240601</v>
      </c>
      <c r="F372" s="9" t="str">
        <f>"周楚萍"</f>
        <v>周楚萍</v>
      </c>
      <c r="G372" s="9" t="str">
        <f t="shared" si="38"/>
        <v>女</v>
      </c>
      <c r="H372" s="8"/>
    </row>
    <row r="373" spans="1:8" ht="34.5" customHeight="1">
      <c r="A373" s="8">
        <v>370</v>
      </c>
      <c r="B373" s="9" t="str">
        <f>"651720240531235730109118"</f>
        <v>651720240531235730109118</v>
      </c>
      <c r="C373" s="9" t="s">
        <v>38</v>
      </c>
      <c r="D373" s="9" t="s">
        <v>39</v>
      </c>
      <c r="E373" s="9" t="str">
        <f t="shared" si="37"/>
        <v>240601</v>
      </c>
      <c r="F373" s="9" t="str">
        <f>"林子杨"</f>
        <v>林子杨</v>
      </c>
      <c r="G373" s="9" t="str">
        <f t="shared" si="38"/>
        <v>女</v>
      </c>
      <c r="H373" s="8"/>
    </row>
    <row r="374" spans="1:8" ht="34.5" customHeight="1">
      <c r="A374" s="8">
        <v>371</v>
      </c>
      <c r="B374" s="9" t="str">
        <f>"65172024052715585481382"</f>
        <v>65172024052715585481382</v>
      </c>
      <c r="C374" s="9" t="s">
        <v>38</v>
      </c>
      <c r="D374" s="9" t="s">
        <v>39</v>
      </c>
      <c r="E374" s="9" t="str">
        <f t="shared" si="37"/>
        <v>240601</v>
      </c>
      <c r="F374" s="9" t="str">
        <f>"文艺洁"</f>
        <v>文艺洁</v>
      </c>
      <c r="G374" s="9" t="str">
        <f t="shared" si="38"/>
        <v>女</v>
      </c>
      <c r="H374" s="8"/>
    </row>
    <row r="375" spans="1:8" ht="34.5" customHeight="1">
      <c r="A375" s="8">
        <v>372</v>
      </c>
      <c r="B375" s="9" t="str">
        <f>"651720240531145432103150"</f>
        <v>651720240531145432103150</v>
      </c>
      <c r="C375" s="9" t="s">
        <v>38</v>
      </c>
      <c r="D375" s="9" t="s">
        <v>39</v>
      </c>
      <c r="E375" s="9" t="str">
        <f t="shared" si="37"/>
        <v>240601</v>
      </c>
      <c r="F375" s="9" t="str">
        <f>"李芳敏"</f>
        <v>李芳敏</v>
      </c>
      <c r="G375" s="9" t="str">
        <f t="shared" si="38"/>
        <v>女</v>
      </c>
      <c r="H375" s="8"/>
    </row>
    <row r="376" spans="1:8" ht="34.5" customHeight="1">
      <c r="A376" s="8">
        <v>373</v>
      </c>
      <c r="B376" s="9" t="str">
        <f>"651720240602114002113749"</f>
        <v>651720240602114002113749</v>
      </c>
      <c r="C376" s="9" t="s">
        <v>38</v>
      </c>
      <c r="D376" s="9" t="s">
        <v>39</v>
      </c>
      <c r="E376" s="9" t="str">
        <f t="shared" si="37"/>
        <v>240601</v>
      </c>
      <c r="F376" s="9" t="str">
        <f>"黄尹阁"</f>
        <v>黄尹阁</v>
      </c>
      <c r="G376" s="9" t="str">
        <f t="shared" si="38"/>
        <v>女</v>
      </c>
      <c r="H376" s="8"/>
    </row>
    <row r="377" spans="1:8" ht="34.5" customHeight="1">
      <c r="A377" s="8">
        <v>374</v>
      </c>
      <c r="B377" s="9" t="str">
        <f>"65172024052722590682664"</f>
        <v>65172024052722590682664</v>
      </c>
      <c r="C377" s="9" t="s">
        <v>38</v>
      </c>
      <c r="D377" s="9" t="s">
        <v>39</v>
      </c>
      <c r="E377" s="9" t="str">
        <f t="shared" si="37"/>
        <v>240601</v>
      </c>
      <c r="F377" s="9" t="str">
        <f>"周玉笙"</f>
        <v>周玉笙</v>
      </c>
      <c r="G377" s="9" t="str">
        <f t="shared" si="38"/>
        <v>女</v>
      </c>
      <c r="H377" s="8"/>
    </row>
    <row r="378" spans="1:8" ht="34.5" customHeight="1">
      <c r="A378" s="8">
        <v>375</v>
      </c>
      <c r="B378" s="9" t="str">
        <f>"651720240603123122120950"</f>
        <v>651720240603123122120950</v>
      </c>
      <c r="C378" s="9" t="s">
        <v>38</v>
      </c>
      <c r="D378" s="9" t="s">
        <v>39</v>
      </c>
      <c r="E378" s="9" t="str">
        <f t="shared" si="37"/>
        <v>240601</v>
      </c>
      <c r="F378" s="9" t="str">
        <f>"韦彬华"</f>
        <v>韦彬华</v>
      </c>
      <c r="G378" s="9" t="str">
        <f t="shared" si="38"/>
        <v>女</v>
      </c>
      <c r="H378" s="8"/>
    </row>
    <row r="379" spans="1:8" ht="34.5" customHeight="1">
      <c r="A379" s="8">
        <v>376</v>
      </c>
      <c r="B379" s="9" t="str">
        <f>"651720240531114927101962"</f>
        <v>651720240531114927101962</v>
      </c>
      <c r="C379" s="9" t="s">
        <v>38</v>
      </c>
      <c r="D379" s="9" t="s">
        <v>39</v>
      </c>
      <c r="E379" s="9" t="str">
        <f t="shared" si="37"/>
        <v>240601</v>
      </c>
      <c r="F379" s="9" t="str">
        <f>"赵禹"</f>
        <v>赵禹</v>
      </c>
      <c r="G379" s="9" t="str">
        <f t="shared" si="38"/>
        <v>女</v>
      </c>
      <c r="H379" s="8"/>
    </row>
    <row r="380" spans="1:8" ht="34.5" customHeight="1">
      <c r="A380" s="8">
        <v>377</v>
      </c>
      <c r="B380" s="9" t="str">
        <f>"651720240603190945124613"</f>
        <v>651720240603190945124613</v>
      </c>
      <c r="C380" s="9" t="s">
        <v>38</v>
      </c>
      <c r="D380" s="9" t="s">
        <v>39</v>
      </c>
      <c r="E380" s="9" t="str">
        <f t="shared" si="37"/>
        <v>240601</v>
      </c>
      <c r="F380" s="9" t="str">
        <f>"牛子孺"</f>
        <v>牛子孺</v>
      </c>
      <c r="G380" s="9" t="str">
        <f t="shared" si="38"/>
        <v>女</v>
      </c>
      <c r="H380" s="8"/>
    </row>
    <row r="381" spans="1:8" ht="34.5" customHeight="1">
      <c r="A381" s="8">
        <v>378</v>
      </c>
      <c r="B381" s="9" t="str">
        <f>"651720240531165328107228"</f>
        <v>651720240531165328107228</v>
      </c>
      <c r="C381" s="9" t="s">
        <v>38</v>
      </c>
      <c r="D381" s="9" t="s">
        <v>39</v>
      </c>
      <c r="E381" s="9" t="str">
        <f t="shared" si="37"/>
        <v>240601</v>
      </c>
      <c r="F381" s="9" t="str">
        <f>"邓文慧"</f>
        <v>邓文慧</v>
      </c>
      <c r="G381" s="9" t="str">
        <f t="shared" si="38"/>
        <v>女</v>
      </c>
      <c r="H381" s="8"/>
    </row>
    <row r="382" spans="1:8" ht="34.5" customHeight="1">
      <c r="A382" s="8">
        <v>379</v>
      </c>
      <c r="B382" s="9" t="str">
        <f>"651720240603234603125825"</f>
        <v>651720240603234603125825</v>
      </c>
      <c r="C382" s="9" t="s">
        <v>38</v>
      </c>
      <c r="D382" s="9" t="s">
        <v>39</v>
      </c>
      <c r="E382" s="9" t="str">
        <f t="shared" si="37"/>
        <v>240601</v>
      </c>
      <c r="F382" s="9" t="str">
        <f>"顾思琪"</f>
        <v>顾思琪</v>
      </c>
      <c r="G382" s="9" t="str">
        <f t="shared" si="38"/>
        <v>女</v>
      </c>
      <c r="H382" s="8"/>
    </row>
    <row r="383" spans="1:8" ht="34.5" customHeight="1">
      <c r="A383" s="8">
        <v>380</v>
      </c>
      <c r="B383" s="9" t="str">
        <f>"651720240604122209128202"</f>
        <v>651720240604122209128202</v>
      </c>
      <c r="C383" s="9" t="s">
        <v>38</v>
      </c>
      <c r="D383" s="9" t="s">
        <v>39</v>
      </c>
      <c r="E383" s="9" t="str">
        <f t="shared" si="37"/>
        <v>240601</v>
      </c>
      <c r="F383" s="9" t="str">
        <f>"肖德建"</f>
        <v>肖德建</v>
      </c>
      <c r="G383" s="9" t="str">
        <f>"男"</f>
        <v>男</v>
      </c>
      <c r="H383" s="8"/>
    </row>
    <row r="384" spans="1:8" ht="34.5" customHeight="1">
      <c r="A384" s="8">
        <v>381</v>
      </c>
      <c r="B384" s="9" t="str">
        <f>"651720240604104746127415"</f>
        <v>651720240604104746127415</v>
      </c>
      <c r="C384" s="9" t="s">
        <v>38</v>
      </c>
      <c r="D384" s="9" t="s">
        <v>39</v>
      </c>
      <c r="E384" s="9" t="str">
        <f t="shared" si="37"/>
        <v>240601</v>
      </c>
      <c r="F384" s="9" t="str">
        <f>"薛理乐"</f>
        <v>薛理乐</v>
      </c>
      <c r="G384" s="9" t="str">
        <f aca="true" t="shared" si="39" ref="G384:G397">"女"</f>
        <v>女</v>
      </c>
      <c r="H384" s="8"/>
    </row>
    <row r="385" spans="1:8" ht="34.5" customHeight="1">
      <c r="A385" s="8">
        <v>382</v>
      </c>
      <c r="B385" s="9" t="str">
        <f>"651720240604153956129623"</f>
        <v>651720240604153956129623</v>
      </c>
      <c r="C385" s="9" t="s">
        <v>38</v>
      </c>
      <c r="D385" s="9" t="s">
        <v>39</v>
      </c>
      <c r="E385" s="9" t="str">
        <f t="shared" si="37"/>
        <v>240601</v>
      </c>
      <c r="F385" s="9" t="str">
        <f>"王怡怡"</f>
        <v>王怡怡</v>
      </c>
      <c r="G385" s="9" t="str">
        <f t="shared" si="39"/>
        <v>女</v>
      </c>
      <c r="H385" s="8"/>
    </row>
    <row r="386" spans="1:8" ht="34.5" customHeight="1">
      <c r="A386" s="8">
        <v>383</v>
      </c>
      <c r="B386" s="9" t="str">
        <f>"65172024052917320688789"</f>
        <v>65172024052917320688789</v>
      </c>
      <c r="C386" s="9" t="s">
        <v>38</v>
      </c>
      <c r="D386" s="9" t="s">
        <v>39</v>
      </c>
      <c r="E386" s="9" t="str">
        <f t="shared" si="37"/>
        <v>240601</v>
      </c>
      <c r="F386" s="9" t="str">
        <f>"苏朝霓"</f>
        <v>苏朝霓</v>
      </c>
      <c r="G386" s="9" t="str">
        <f t="shared" si="39"/>
        <v>女</v>
      </c>
      <c r="H386" s="8"/>
    </row>
    <row r="387" spans="1:8" ht="34.5" customHeight="1">
      <c r="A387" s="8">
        <v>384</v>
      </c>
      <c r="B387" s="9" t="str">
        <f>"651720240604142723128972"</f>
        <v>651720240604142723128972</v>
      </c>
      <c r="C387" s="9" t="s">
        <v>38</v>
      </c>
      <c r="D387" s="9" t="s">
        <v>39</v>
      </c>
      <c r="E387" s="9" t="str">
        <f t="shared" si="37"/>
        <v>240601</v>
      </c>
      <c r="F387" s="9" t="str">
        <f>"林小曼"</f>
        <v>林小曼</v>
      </c>
      <c r="G387" s="9" t="str">
        <f t="shared" si="39"/>
        <v>女</v>
      </c>
      <c r="H387" s="8"/>
    </row>
    <row r="388" spans="1:8" ht="34.5" customHeight="1">
      <c r="A388" s="8">
        <v>385</v>
      </c>
      <c r="B388" s="9" t="str">
        <f>"651720240604184602130908"</f>
        <v>651720240604184602130908</v>
      </c>
      <c r="C388" s="9" t="s">
        <v>38</v>
      </c>
      <c r="D388" s="9" t="s">
        <v>39</v>
      </c>
      <c r="E388" s="9" t="str">
        <f t="shared" si="37"/>
        <v>240601</v>
      </c>
      <c r="F388" s="9" t="str">
        <f>"陈秀选"</f>
        <v>陈秀选</v>
      </c>
      <c r="G388" s="9" t="str">
        <f t="shared" si="39"/>
        <v>女</v>
      </c>
      <c r="H388" s="8"/>
    </row>
    <row r="389" spans="1:8" ht="34.5" customHeight="1">
      <c r="A389" s="8">
        <v>386</v>
      </c>
      <c r="B389" s="9" t="str">
        <f>"651720240605231515141395"</f>
        <v>651720240605231515141395</v>
      </c>
      <c r="C389" s="9" t="s">
        <v>38</v>
      </c>
      <c r="D389" s="9" t="s">
        <v>39</v>
      </c>
      <c r="E389" s="9" t="str">
        <f t="shared" si="37"/>
        <v>240601</v>
      </c>
      <c r="F389" s="9" t="str">
        <f>"胡杨秀"</f>
        <v>胡杨秀</v>
      </c>
      <c r="G389" s="9" t="str">
        <f t="shared" si="39"/>
        <v>女</v>
      </c>
      <c r="H389" s="8"/>
    </row>
    <row r="390" spans="1:8" ht="34.5" customHeight="1">
      <c r="A390" s="8">
        <v>387</v>
      </c>
      <c r="B390" s="9" t="str">
        <f>"65172024052712342980488"</f>
        <v>65172024052712342980488</v>
      </c>
      <c r="C390" s="9" t="s">
        <v>38</v>
      </c>
      <c r="D390" s="9" t="s">
        <v>35</v>
      </c>
      <c r="E390" s="9" t="str">
        <f aca="true" t="shared" si="40" ref="E390:E407">"240602"</f>
        <v>240602</v>
      </c>
      <c r="F390" s="9" t="str">
        <f>"刘红"</f>
        <v>刘红</v>
      </c>
      <c r="G390" s="9" t="str">
        <f t="shared" si="39"/>
        <v>女</v>
      </c>
      <c r="H390" s="8"/>
    </row>
    <row r="391" spans="1:8" ht="34.5" customHeight="1">
      <c r="A391" s="8">
        <v>388</v>
      </c>
      <c r="B391" s="9" t="str">
        <f>"65172024052623583178646"</f>
        <v>65172024052623583178646</v>
      </c>
      <c r="C391" s="9" t="s">
        <v>38</v>
      </c>
      <c r="D391" s="9" t="s">
        <v>35</v>
      </c>
      <c r="E391" s="9" t="str">
        <f t="shared" si="40"/>
        <v>240602</v>
      </c>
      <c r="F391" s="9" t="str">
        <f>"陈小婷"</f>
        <v>陈小婷</v>
      </c>
      <c r="G391" s="9" t="str">
        <f t="shared" si="39"/>
        <v>女</v>
      </c>
      <c r="H391" s="8"/>
    </row>
    <row r="392" spans="1:8" ht="34.5" customHeight="1">
      <c r="A392" s="8">
        <v>389</v>
      </c>
      <c r="B392" s="9" t="str">
        <f>"65172024052916490888598"</f>
        <v>65172024052916490888598</v>
      </c>
      <c r="C392" s="9" t="s">
        <v>38</v>
      </c>
      <c r="D392" s="9" t="s">
        <v>35</v>
      </c>
      <c r="E392" s="9" t="str">
        <f t="shared" si="40"/>
        <v>240602</v>
      </c>
      <c r="F392" s="9" t="str">
        <f>"曾淑淼"</f>
        <v>曾淑淼</v>
      </c>
      <c r="G392" s="9" t="str">
        <f t="shared" si="39"/>
        <v>女</v>
      </c>
      <c r="H392" s="8"/>
    </row>
    <row r="393" spans="1:8" ht="34.5" customHeight="1">
      <c r="A393" s="8">
        <v>390</v>
      </c>
      <c r="B393" s="9" t="str">
        <f>"65172024053012333594847"</f>
        <v>65172024053012333594847</v>
      </c>
      <c r="C393" s="9" t="s">
        <v>38</v>
      </c>
      <c r="D393" s="9" t="s">
        <v>35</v>
      </c>
      <c r="E393" s="9" t="str">
        <f t="shared" si="40"/>
        <v>240602</v>
      </c>
      <c r="F393" s="9" t="str">
        <f>"周水源"</f>
        <v>周水源</v>
      </c>
      <c r="G393" s="9" t="str">
        <f t="shared" si="39"/>
        <v>女</v>
      </c>
      <c r="H393" s="8"/>
    </row>
    <row r="394" spans="1:8" ht="34.5" customHeight="1">
      <c r="A394" s="8">
        <v>391</v>
      </c>
      <c r="B394" s="9" t="str">
        <f>"65172024053021271999017"</f>
        <v>65172024053021271999017</v>
      </c>
      <c r="C394" s="9" t="s">
        <v>38</v>
      </c>
      <c r="D394" s="9" t="s">
        <v>35</v>
      </c>
      <c r="E394" s="9" t="str">
        <f t="shared" si="40"/>
        <v>240602</v>
      </c>
      <c r="F394" s="9" t="str">
        <f>"黄贝贝"</f>
        <v>黄贝贝</v>
      </c>
      <c r="G394" s="9" t="str">
        <f t="shared" si="39"/>
        <v>女</v>
      </c>
      <c r="H394" s="8"/>
    </row>
    <row r="395" spans="1:8" ht="34.5" customHeight="1">
      <c r="A395" s="8">
        <v>392</v>
      </c>
      <c r="B395" s="9" t="str">
        <f>"651720240601221508112455"</f>
        <v>651720240601221508112455</v>
      </c>
      <c r="C395" s="9" t="s">
        <v>38</v>
      </c>
      <c r="D395" s="9" t="s">
        <v>35</v>
      </c>
      <c r="E395" s="9" t="str">
        <f t="shared" si="40"/>
        <v>240602</v>
      </c>
      <c r="F395" s="9" t="str">
        <f>"林嫚"</f>
        <v>林嫚</v>
      </c>
      <c r="G395" s="9" t="str">
        <f t="shared" si="39"/>
        <v>女</v>
      </c>
      <c r="H395" s="8"/>
    </row>
    <row r="396" spans="1:8" ht="34.5" customHeight="1">
      <c r="A396" s="8">
        <v>393</v>
      </c>
      <c r="B396" s="9" t="str">
        <f>"651720240602164416115135"</f>
        <v>651720240602164416115135</v>
      </c>
      <c r="C396" s="9" t="s">
        <v>38</v>
      </c>
      <c r="D396" s="9" t="s">
        <v>35</v>
      </c>
      <c r="E396" s="9" t="str">
        <f t="shared" si="40"/>
        <v>240602</v>
      </c>
      <c r="F396" s="9" t="str">
        <f>"李彤"</f>
        <v>李彤</v>
      </c>
      <c r="G396" s="9" t="str">
        <f t="shared" si="39"/>
        <v>女</v>
      </c>
      <c r="H396" s="8"/>
    </row>
    <row r="397" spans="1:8" ht="34.5" customHeight="1">
      <c r="A397" s="8">
        <v>394</v>
      </c>
      <c r="B397" s="9" t="str">
        <f>"651720240603120921120737"</f>
        <v>651720240603120921120737</v>
      </c>
      <c r="C397" s="9" t="s">
        <v>38</v>
      </c>
      <c r="D397" s="9" t="s">
        <v>35</v>
      </c>
      <c r="E397" s="9" t="str">
        <f t="shared" si="40"/>
        <v>240602</v>
      </c>
      <c r="F397" s="9" t="str">
        <f>"普金萍"</f>
        <v>普金萍</v>
      </c>
      <c r="G397" s="9" t="str">
        <f t="shared" si="39"/>
        <v>女</v>
      </c>
      <c r="H397" s="8"/>
    </row>
    <row r="398" spans="1:8" ht="34.5" customHeight="1">
      <c r="A398" s="8">
        <v>395</v>
      </c>
      <c r="B398" s="9" t="str">
        <f>"651720240603112421120288"</f>
        <v>651720240603112421120288</v>
      </c>
      <c r="C398" s="9" t="s">
        <v>38</v>
      </c>
      <c r="D398" s="9" t="s">
        <v>35</v>
      </c>
      <c r="E398" s="9" t="str">
        <f t="shared" si="40"/>
        <v>240602</v>
      </c>
      <c r="F398" s="9" t="str">
        <f>"周辉"</f>
        <v>周辉</v>
      </c>
      <c r="G398" s="9" t="str">
        <f>"男"</f>
        <v>男</v>
      </c>
      <c r="H398" s="8"/>
    </row>
    <row r="399" spans="1:8" ht="34.5" customHeight="1">
      <c r="A399" s="8">
        <v>396</v>
      </c>
      <c r="B399" s="9" t="str">
        <f>"651720240603140056121761"</f>
        <v>651720240603140056121761</v>
      </c>
      <c r="C399" s="9" t="s">
        <v>38</v>
      </c>
      <c r="D399" s="9" t="s">
        <v>35</v>
      </c>
      <c r="E399" s="9" t="str">
        <f t="shared" si="40"/>
        <v>240602</v>
      </c>
      <c r="F399" s="9" t="str">
        <f>"王海姑"</f>
        <v>王海姑</v>
      </c>
      <c r="G399" s="9" t="str">
        <f aca="true" t="shared" si="41" ref="G399:G413">"女"</f>
        <v>女</v>
      </c>
      <c r="H399" s="8"/>
    </row>
    <row r="400" spans="1:8" ht="34.5" customHeight="1">
      <c r="A400" s="8">
        <v>397</v>
      </c>
      <c r="B400" s="9" t="str">
        <f>"651720240604072654126054"</f>
        <v>651720240604072654126054</v>
      </c>
      <c r="C400" s="9" t="s">
        <v>38</v>
      </c>
      <c r="D400" s="9" t="s">
        <v>35</v>
      </c>
      <c r="E400" s="9" t="str">
        <f t="shared" si="40"/>
        <v>240602</v>
      </c>
      <c r="F400" s="9" t="str">
        <f>"高唐瑛"</f>
        <v>高唐瑛</v>
      </c>
      <c r="G400" s="9" t="str">
        <f t="shared" si="41"/>
        <v>女</v>
      </c>
      <c r="H400" s="8"/>
    </row>
    <row r="401" spans="1:8" ht="34.5" customHeight="1">
      <c r="A401" s="8">
        <v>398</v>
      </c>
      <c r="B401" s="9" t="str">
        <f>"651720240604132731128653"</f>
        <v>651720240604132731128653</v>
      </c>
      <c r="C401" s="9" t="s">
        <v>38</v>
      </c>
      <c r="D401" s="9" t="s">
        <v>35</v>
      </c>
      <c r="E401" s="9" t="str">
        <f t="shared" si="40"/>
        <v>240602</v>
      </c>
      <c r="F401" s="9" t="str">
        <f>"叶晓琳"</f>
        <v>叶晓琳</v>
      </c>
      <c r="G401" s="9" t="str">
        <f t="shared" si="41"/>
        <v>女</v>
      </c>
      <c r="H401" s="8"/>
    </row>
    <row r="402" spans="1:8" ht="34.5" customHeight="1">
      <c r="A402" s="8">
        <v>399</v>
      </c>
      <c r="B402" s="9" t="str">
        <f>"651720240605010437132612"</f>
        <v>651720240605010437132612</v>
      </c>
      <c r="C402" s="9" t="s">
        <v>38</v>
      </c>
      <c r="D402" s="9" t="s">
        <v>35</v>
      </c>
      <c r="E402" s="9" t="str">
        <f t="shared" si="40"/>
        <v>240602</v>
      </c>
      <c r="F402" s="9" t="str">
        <f>"许琼娜"</f>
        <v>许琼娜</v>
      </c>
      <c r="G402" s="9" t="str">
        <f t="shared" si="41"/>
        <v>女</v>
      </c>
      <c r="H402" s="8"/>
    </row>
    <row r="403" spans="1:8" ht="34.5" customHeight="1">
      <c r="A403" s="8">
        <v>400</v>
      </c>
      <c r="B403" s="9" t="str">
        <f>"651720240603012110117557"</f>
        <v>651720240603012110117557</v>
      </c>
      <c r="C403" s="9" t="s">
        <v>38</v>
      </c>
      <c r="D403" s="9" t="s">
        <v>35</v>
      </c>
      <c r="E403" s="9" t="str">
        <f t="shared" si="40"/>
        <v>240602</v>
      </c>
      <c r="F403" s="9" t="str">
        <f>"叶锐"</f>
        <v>叶锐</v>
      </c>
      <c r="G403" s="9" t="str">
        <f t="shared" si="41"/>
        <v>女</v>
      </c>
      <c r="H403" s="8"/>
    </row>
    <row r="404" spans="1:8" ht="34.5" customHeight="1">
      <c r="A404" s="8">
        <v>401</v>
      </c>
      <c r="B404" s="9" t="str">
        <f>"651720240603164302123785"</f>
        <v>651720240603164302123785</v>
      </c>
      <c r="C404" s="9" t="s">
        <v>38</v>
      </c>
      <c r="D404" s="9" t="s">
        <v>35</v>
      </c>
      <c r="E404" s="9" t="str">
        <f t="shared" si="40"/>
        <v>240602</v>
      </c>
      <c r="F404" s="9" t="str">
        <f>"杨慧"</f>
        <v>杨慧</v>
      </c>
      <c r="G404" s="9" t="str">
        <f t="shared" si="41"/>
        <v>女</v>
      </c>
      <c r="H404" s="8"/>
    </row>
    <row r="405" spans="1:8" ht="34.5" customHeight="1">
      <c r="A405" s="8">
        <v>402</v>
      </c>
      <c r="B405" s="9" t="str">
        <f>"651720240605204404140763"</f>
        <v>651720240605204404140763</v>
      </c>
      <c r="C405" s="9" t="s">
        <v>38</v>
      </c>
      <c r="D405" s="9" t="s">
        <v>35</v>
      </c>
      <c r="E405" s="9" t="str">
        <f t="shared" si="40"/>
        <v>240602</v>
      </c>
      <c r="F405" s="9" t="str">
        <f>"吴佩华"</f>
        <v>吴佩华</v>
      </c>
      <c r="G405" s="9" t="str">
        <f t="shared" si="41"/>
        <v>女</v>
      </c>
      <c r="H405" s="8"/>
    </row>
    <row r="406" spans="1:8" ht="34.5" customHeight="1">
      <c r="A406" s="8">
        <v>403</v>
      </c>
      <c r="B406" s="9" t="str">
        <f>"651720240605210135140810"</f>
        <v>651720240605210135140810</v>
      </c>
      <c r="C406" s="9" t="s">
        <v>38</v>
      </c>
      <c r="D406" s="9" t="s">
        <v>35</v>
      </c>
      <c r="E406" s="9" t="str">
        <f t="shared" si="40"/>
        <v>240602</v>
      </c>
      <c r="F406" s="9" t="str">
        <f>"冯海滨"</f>
        <v>冯海滨</v>
      </c>
      <c r="G406" s="9" t="str">
        <f t="shared" si="41"/>
        <v>女</v>
      </c>
      <c r="H406" s="8"/>
    </row>
    <row r="407" spans="1:8" ht="34.5" customHeight="1">
      <c r="A407" s="8">
        <v>404</v>
      </c>
      <c r="B407" s="9" t="str">
        <f>"651720240605230708141366"</f>
        <v>651720240605230708141366</v>
      </c>
      <c r="C407" s="9" t="s">
        <v>38</v>
      </c>
      <c r="D407" s="9" t="s">
        <v>35</v>
      </c>
      <c r="E407" s="9" t="str">
        <f t="shared" si="40"/>
        <v>240602</v>
      </c>
      <c r="F407" s="9" t="str">
        <f>"邓萍"</f>
        <v>邓萍</v>
      </c>
      <c r="G407" s="9" t="str">
        <f t="shared" si="41"/>
        <v>女</v>
      </c>
      <c r="H407" s="8"/>
    </row>
    <row r="408" spans="1:8" ht="34.5" customHeight="1">
      <c r="A408" s="8">
        <v>405</v>
      </c>
      <c r="B408" s="9" t="str">
        <f>"65172024052417543175798"</f>
        <v>65172024052417543175798</v>
      </c>
      <c r="C408" s="9" t="s">
        <v>38</v>
      </c>
      <c r="D408" s="9" t="s">
        <v>36</v>
      </c>
      <c r="E408" s="9" t="str">
        <f aca="true" t="shared" si="42" ref="E408:E413">"240603"</f>
        <v>240603</v>
      </c>
      <c r="F408" s="9" t="str">
        <f>"蓝焕莉"</f>
        <v>蓝焕莉</v>
      </c>
      <c r="G408" s="9" t="str">
        <f t="shared" si="41"/>
        <v>女</v>
      </c>
      <c r="H408" s="8"/>
    </row>
    <row r="409" spans="1:8" ht="34.5" customHeight="1">
      <c r="A409" s="8">
        <v>406</v>
      </c>
      <c r="B409" s="9" t="str">
        <f>"65172024052420033775952"</f>
        <v>65172024052420033775952</v>
      </c>
      <c r="C409" s="9" t="s">
        <v>38</v>
      </c>
      <c r="D409" s="9" t="s">
        <v>36</v>
      </c>
      <c r="E409" s="9" t="str">
        <f t="shared" si="42"/>
        <v>240603</v>
      </c>
      <c r="F409" s="9" t="str">
        <f>"曹欣然"</f>
        <v>曹欣然</v>
      </c>
      <c r="G409" s="9" t="str">
        <f t="shared" si="41"/>
        <v>女</v>
      </c>
      <c r="H409" s="8"/>
    </row>
    <row r="410" spans="1:8" ht="34.5" customHeight="1">
      <c r="A410" s="8">
        <v>407</v>
      </c>
      <c r="B410" s="9" t="str">
        <f>"65172024052810372283211"</f>
        <v>65172024052810372283211</v>
      </c>
      <c r="C410" s="9" t="s">
        <v>38</v>
      </c>
      <c r="D410" s="9" t="s">
        <v>36</v>
      </c>
      <c r="E410" s="9" t="str">
        <f t="shared" si="42"/>
        <v>240603</v>
      </c>
      <c r="F410" s="9" t="str">
        <f>"黎圆"</f>
        <v>黎圆</v>
      </c>
      <c r="G410" s="9" t="str">
        <f t="shared" si="41"/>
        <v>女</v>
      </c>
      <c r="H410" s="8"/>
    </row>
    <row r="411" spans="1:8" ht="34.5" customHeight="1">
      <c r="A411" s="8">
        <v>408</v>
      </c>
      <c r="B411" s="9" t="str">
        <f>"651720240602160621114913"</f>
        <v>651720240602160621114913</v>
      </c>
      <c r="C411" s="9" t="s">
        <v>38</v>
      </c>
      <c r="D411" s="9" t="s">
        <v>36</v>
      </c>
      <c r="E411" s="9" t="str">
        <f t="shared" si="42"/>
        <v>240603</v>
      </c>
      <c r="F411" s="9" t="str">
        <f>"李雨璇"</f>
        <v>李雨璇</v>
      </c>
      <c r="G411" s="9" t="str">
        <f t="shared" si="41"/>
        <v>女</v>
      </c>
      <c r="H411" s="8"/>
    </row>
    <row r="412" spans="1:8" ht="34.5" customHeight="1">
      <c r="A412" s="8">
        <v>409</v>
      </c>
      <c r="B412" s="9" t="str">
        <f>"651720240602150113114576"</f>
        <v>651720240602150113114576</v>
      </c>
      <c r="C412" s="9" t="s">
        <v>38</v>
      </c>
      <c r="D412" s="9" t="s">
        <v>36</v>
      </c>
      <c r="E412" s="9" t="str">
        <f t="shared" si="42"/>
        <v>240603</v>
      </c>
      <c r="F412" s="9" t="str">
        <f>"邱奎倩"</f>
        <v>邱奎倩</v>
      </c>
      <c r="G412" s="9" t="str">
        <f t="shared" si="41"/>
        <v>女</v>
      </c>
      <c r="H412" s="8"/>
    </row>
    <row r="413" spans="1:8" ht="34.5" customHeight="1">
      <c r="A413" s="8">
        <v>410</v>
      </c>
      <c r="B413" s="9" t="str">
        <f>"651720240605174118140076"</f>
        <v>651720240605174118140076</v>
      </c>
      <c r="C413" s="9" t="s">
        <v>38</v>
      </c>
      <c r="D413" s="9" t="s">
        <v>36</v>
      </c>
      <c r="E413" s="9" t="str">
        <f t="shared" si="42"/>
        <v>240603</v>
      </c>
      <c r="F413" s="9" t="str">
        <f>"熊晓宁"</f>
        <v>熊晓宁</v>
      </c>
      <c r="G413" s="9" t="str">
        <f t="shared" si="41"/>
        <v>女</v>
      </c>
      <c r="H413" s="8"/>
    </row>
    <row r="414" spans="1:8" ht="34.5" customHeight="1">
      <c r="A414" s="8">
        <v>411</v>
      </c>
      <c r="B414" s="9" t="str">
        <f>"65172024052409280474128"</f>
        <v>65172024052409280474128</v>
      </c>
      <c r="C414" s="9" t="s">
        <v>38</v>
      </c>
      <c r="D414" s="9" t="s">
        <v>32</v>
      </c>
      <c r="E414" s="9" t="str">
        <f aca="true" t="shared" si="43" ref="E414:E432">"240604"</f>
        <v>240604</v>
      </c>
      <c r="F414" s="9" t="str">
        <f>"沈峻棡"</f>
        <v>沈峻棡</v>
      </c>
      <c r="G414" s="9" t="str">
        <f>"男"</f>
        <v>男</v>
      </c>
      <c r="H414" s="8"/>
    </row>
    <row r="415" spans="1:8" ht="34.5" customHeight="1">
      <c r="A415" s="8">
        <v>412</v>
      </c>
      <c r="B415" s="9" t="str">
        <f>"65172024052416205975532"</f>
        <v>65172024052416205975532</v>
      </c>
      <c r="C415" s="9" t="s">
        <v>38</v>
      </c>
      <c r="D415" s="9" t="s">
        <v>32</v>
      </c>
      <c r="E415" s="9" t="str">
        <f t="shared" si="43"/>
        <v>240604</v>
      </c>
      <c r="F415" s="9" t="str">
        <f>"许治青"</f>
        <v>许治青</v>
      </c>
      <c r="G415" s="9" t="str">
        <f>"男"</f>
        <v>男</v>
      </c>
      <c r="H415" s="8"/>
    </row>
    <row r="416" spans="1:8" ht="34.5" customHeight="1">
      <c r="A416" s="8">
        <v>413</v>
      </c>
      <c r="B416" s="9" t="str">
        <f>"65172024052413300774961"</f>
        <v>65172024052413300774961</v>
      </c>
      <c r="C416" s="9" t="s">
        <v>38</v>
      </c>
      <c r="D416" s="9" t="s">
        <v>32</v>
      </c>
      <c r="E416" s="9" t="str">
        <f t="shared" si="43"/>
        <v>240604</v>
      </c>
      <c r="F416" s="9" t="str">
        <f>"旷小洲"</f>
        <v>旷小洲</v>
      </c>
      <c r="G416" s="9" t="str">
        <f>"男"</f>
        <v>男</v>
      </c>
      <c r="H416" s="8"/>
    </row>
    <row r="417" spans="1:8" ht="34.5" customHeight="1">
      <c r="A417" s="8">
        <v>414</v>
      </c>
      <c r="B417" s="9" t="str">
        <f>"65172024052415193175294"</f>
        <v>65172024052415193175294</v>
      </c>
      <c r="C417" s="9" t="s">
        <v>38</v>
      </c>
      <c r="D417" s="9" t="s">
        <v>32</v>
      </c>
      <c r="E417" s="9" t="str">
        <f t="shared" si="43"/>
        <v>240604</v>
      </c>
      <c r="F417" s="9" t="str">
        <f>"高富荣"</f>
        <v>高富荣</v>
      </c>
      <c r="G417" s="9" t="str">
        <f>"女"</f>
        <v>女</v>
      </c>
      <c r="H417" s="8"/>
    </row>
    <row r="418" spans="1:8" ht="34.5" customHeight="1">
      <c r="A418" s="8">
        <v>415</v>
      </c>
      <c r="B418" s="9" t="str">
        <f>"65172024052712450580533"</f>
        <v>65172024052712450580533</v>
      </c>
      <c r="C418" s="9" t="s">
        <v>38</v>
      </c>
      <c r="D418" s="9" t="s">
        <v>32</v>
      </c>
      <c r="E418" s="9" t="str">
        <f t="shared" si="43"/>
        <v>240604</v>
      </c>
      <c r="F418" s="9" t="str">
        <f>"胡依格"</f>
        <v>胡依格</v>
      </c>
      <c r="G418" s="9" t="str">
        <f>"女"</f>
        <v>女</v>
      </c>
      <c r="H418" s="8"/>
    </row>
    <row r="419" spans="1:8" ht="34.5" customHeight="1">
      <c r="A419" s="8">
        <v>416</v>
      </c>
      <c r="B419" s="9" t="str">
        <f>"65172024052722371882610"</f>
        <v>65172024052722371882610</v>
      </c>
      <c r="C419" s="9" t="s">
        <v>38</v>
      </c>
      <c r="D419" s="9" t="s">
        <v>32</v>
      </c>
      <c r="E419" s="9" t="str">
        <f t="shared" si="43"/>
        <v>240604</v>
      </c>
      <c r="F419" s="9" t="str">
        <f>"段晨晨"</f>
        <v>段晨晨</v>
      </c>
      <c r="G419" s="9" t="str">
        <f>"男"</f>
        <v>男</v>
      </c>
      <c r="H419" s="8"/>
    </row>
    <row r="420" spans="1:8" ht="34.5" customHeight="1">
      <c r="A420" s="8">
        <v>417</v>
      </c>
      <c r="B420" s="9" t="str">
        <f>"65172024052816321884067"</f>
        <v>65172024052816321884067</v>
      </c>
      <c r="C420" s="9" t="s">
        <v>38</v>
      </c>
      <c r="D420" s="9" t="s">
        <v>32</v>
      </c>
      <c r="E420" s="9" t="str">
        <f t="shared" si="43"/>
        <v>240604</v>
      </c>
      <c r="F420" s="9" t="str">
        <f>"周逸"</f>
        <v>周逸</v>
      </c>
      <c r="G420" s="9" t="str">
        <f>"男"</f>
        <v>男</v>
      </c>
      <c r="H420" s="8"/>
    </row>
    <row r="421" spans="1:8" ht="34.5" customHeight="1">
      <c r="A421" s="8">
        <v>418</v>
      </c>
      <c r="B421" s="9" t="str">
        <f>"65172024052816513084128"</f>
        <v>65172024052816513084128</v>
      </c>
      <c r="C421" s="9" t="s">
        <v>38</v>
      </c>
      <c r="D421" s="9" t="s">
        <v>32</v>
      </c>
      <c r="E421" s="9" t="str">
        <f t="shared" si="43"/>
        <v>240604</v>
      </c>
      <c r="F421" s="9" t="str">
        <f>"董继宏"</f>
        <v>董继宏</v>
      </c>
      <c r="G421" s="9" t="str">
        <f>"男"</f>
        <v>男</v>
      </c>
      <c r="H421" s="8"/>
    </row>
    <row r="422" spans="1:8" ht="34.5" customHeight="1">
      <c r="A422" s="8">
        <v>419</v>
      </c>
      <c r="B422" s="9" t="str">
        <f>"65172024052819213285509"</f>
        <v>65172024052819213285509</v>
      </c>
      <c r="C422" s="9" t="s">
        <v>38</v>
      </c>
      <c r="D422" s="9" t="s">
        <v>32</v>
      </c>
      <c r="E422" s="9" t="str">
        <f t="shared" si="43"/>
        <v>240604</v>
      </c>
      <c r="F422" s="9" t="str">
        <f>"冯成睿"</f>
        <v>冯成睿</v>
      </c>
      <c r="G422" s="9" t="str">
        <f>"男"</f>
        <v>男</v>
      </c>
      <c r="H422" s="8"/>
    </row>
    <row r="423" spans="1:8" ht="34.5" customHeight="1">
      <c r="A423" s="8">
        <v>420</v>
      </c>
      <c r="B423" s="9" t="str">
        <f>"65172024052823123086026"</f>
        <v>65172024052823123086026</v>
      </c>
      <c r="C423" s="9" t="s">
        <v>38</v>
      </c>
      <c r="D423" s="9" t="s">
        <v>32</v>
      </c>
      <c r="E423" s="9" t="str">
        <f t="shared" si="43"/>
        <v>240604</v>
      </c>
      <c r="F423" s="9" t="str">
        <f>"王艳"</f>
        <v>王艳</v>
      </c>
      <c r="G423" s="9" t="str">
        <f>"女"</f>
        <v>女</v>
      </c>
      <c r="H423" s="8"/>
    </row>
    <row r="424" spans="1:8" ht="34.5" customHeight="1">
      <c r="A424" s="8">
        <v>421</v>
      </c>
      <c r="B424" s="9" t="str">
        <f>"65172024052821071685750"</f>
        <v>65172024052821071685750</v>
      </c>
      <c r="C424" s="9" t="s">
        <v>38</v>
      </c>
      <c r="D424" s="9" t="s">
        <v>32</v>
      </c>
      <c r="E424" s="9" t="str">
        <f t="shared" si="43"/>
        <v>240604</v>
      </c>
      <c r="F424" s="9" t="str">
        <f>"丘玉连"</f>
        <v>丘玉连</v>
      </c>
      <c r="G424" s="9" t="str">
        <f>"女"</f>
        <v>女</v>
      </c>
      <c r="H424" s="8"/>
    </row>
    <row r="425" spans="1:8" ht="34.5" customHeight="1">
      <c r="A425" s="8">
        <v>422</v>
      </c>
      <c r="B425" s="9" t="str">
        <f>"65172024052710395679873"</f>
        <v>65172024052710395679873</v>
      </c>
      <c r="C425" s="9" t="s">
        <v>38</v>
      </c>
      <c r="D425" s="9" t="s">
        <v>32</v>
      </c>
      <c r="E425" s="9" t="str">
        <f t="shared" si="43"/>
        <v>240604</v>
      </c>
      <c r="F425" s="9" t="str">
        <f>"陈建"</f>
        <v>陈建</v>
      </c>
      <c r="G425" s="9" t="str">
        <f>"男"</f>
        <v>男</v>
      </c>
      <c r="H425" s="8"/>
    </row>
    <row r="426" spans="1:8" ht="34.5" customHeight="1">
      <c r="A426" s="8">
        <v>423</v>
      </c>
      <c r="B426" s="9" t="str">
        <f>"651720240531095041100815"</f>
        <v>651720240531095041100815</v>
      </c>
      <c r="C426" s="9" t="s">
        <v>38</v>
      </c>
      <c r="D426" s="9" t="s">
        <v>32</v>
      </c>
      <c r="E426" s="9" t="str">
        <f t="shared" si="43"/>
        <v>240604</v>
      </c>
      <c r="F426" s="9" t="str">
        <f>"杨昭帅"</f>
        <v>杨昭帅</v>
      </c>
      <c r="G426" s="9" t="str">
        <f>"男"</f>
        <v>男</v>
      </c>
      <c r="H426" s="8"/>
    </row>
    <row r="427" spans="1:8" ht="34.5" customHeight="1">
      <c r="A427" s="8">
        <v>424</v>
      </c>
      <c r="B427" s="9" t="str">
        <f>"65172024052713402580757"</f>
        <v>65172024052713402580757</v>
      </c>
      <c r="C427" s="9" t="s">
        <v>38</v>
      </c>
      <c r="D427" s="9" t="s">
        <v>32</v>
      </c>
      <c r="E427" s="9" t="str">
        <f t="shared" si="43"/>
        <v>240604</v>
      </c>
      <c r="F427" s="9" t="str">
        <f>"王志甜"</f>
        <v>王志甜</v>
      </c>
      <c r="G427" s="9" t="str">
        <f>"女"</f>
        <v>女</v>
      </c>
      <c r="H427" s="8"/>
    </row>
    <row r="428" spans="1:8" ht="34.5" customHeight="1">
      <c r="A428" s="8">
        <v>425</v>
      </c>
      <c r="B428" s="9" t="str">
        <f>"651720240603134243121620"</f>
        <v>651720240603134243121620</v>
      </c>
      <c r="C428" s="9" t="s">
        <v>38</v>
      </c>
      <c r="D428" s="9" t="s">
        <v>32</v>
      </c>
      <c r="E428" s="9" t="str">
        <f t="shared" si="43"/>
        <v>240604</v>
      </c>
      <c r="F428" s="9" t="str">
        <f>"梁渊鑫"</f>
        <v>梁渊鑫</v>
      </c>
      <c r="G428" s="9" t="str">
        <f>"男"</f>
        <v>男</v>
      </c>
      <c r="H428" s="8"/>
    </row>
    <row r="429" spans="1:8" ht="34.5" customHeight="1">
      <c r="A429" s="8">
        <v>426</v>
      </c>
      <c r="B429" s="9" t="str">
        <f>"65172024052415371075364"</f>
        <v>65172024052415371075364</v>
      </c>
      <c r="C429" s="9" t="s">
        <v>38</v>
      </c>
      <c r="D429" s="9" t="s">
        <v>32</v>
      </c>
      <c r="E429" s="9" t="str">
        <f t="shared" si="43"/>
        <v>240604</v>
      </c>
      <c r="F429" s="9" t="str">
        <f>"朱立华"</f>
        <v>朱立华</v>
      </c>
      <c r="G429" s="9" t="str">
        <f>"男"</f>
        <v>男</v>
      </c>
      <c r="H429" s="8"/>
    </row>
    <row r="430" spans="1:8" ht="34.5" customHeight="1">
      <c r="A430" s="8">
        <v>427</v>
      </c>
      <c r="B430" s="9" t="str">
        <f>"651720240603101806119316"</f>
        <v>651720240603101806119316</v>
      </c>
      <c r="C430" s="9" t="s">
        <v>38</v>
      </c>
      <c r="D430" s="9" t="s">
        <v>32</v>
      </c>
      <c r="E430" s="9" t="str">
        <f t="shared" si="43"/>
        <v>240604</v>
      </c>
      <c r="F430" s="9" t="str">
        <f>"曹显梁"</f>
        <v>曹显梁</v>
      </c>
      <c r="G430" s="9" t="str">
        <f>"男"</f>
        <v>男</v>
      </c>
      <c r="H430" s="8"/>
    </row>
    <row r="431" spans="1:8" ht="34.5" customHeight="1">
      <c r="A431" s="8">
        <v>428</v>
      </c>
      <c r="B431" s="9" t="str">
        <f>"651720240602183016115648"</f>
        <v>651720240602183016115648</v>
      </c>
      <c r="C431" s="9" t="s">
        <v>38</v>
      </c>
      <c r="D431" s="9" t="s">
        <v>32</v>
      </c>
      <c r="E431" s="9" t="str">
        <f t="shared" si="43"/>
        <v>240604</v>
      </c>
      <c r="F431" s="9" t="str">
        <f>"黄智坚"</f>
        <v>黄智坚</v>
      </c>
      <c r="G431" s="9" t="str">
        <f>"男"</f>
        <v>男</v>
      </c>
      <c r="H431" s="8"/>
    </row>
    <row r="432" spans="1:8" ht="34.5" customHeight="1">
      <c r="A432" s="8">
        <v>429</v>
      </c>
      <c r="B432" s="9" t="str">
        <f>"651720240604150822129312"</f>
        <v>651720240604150822129312</v>
      </c>
      <c r="C432" s="9" t="s">
        <v>38</v>
      </c>
      <c r="D432" s="9" t="s">
        <v>32</v>
      </c>
      <c r="E432" s="9" t="str">
        <f t="shared" si="43"/>
        <v>240604</v>
      </c>
      <c r="F432" s="9" t="str">
        <f>"李元清"</f>
        <v>李元清</v>
      </c>
      <c r="G432" s="9" t="str">
        <f>"男"</f>
        <v>男</v>
      </c>
      <c r="H432" s="8"/>
    </row>
    <row r="433" spans="1:8" ht="34.5" customHeight="1">
      <c r="A433" s="8">
        <v>430</v>
      </c>
      <c r="B433" s="9" t="str">
        <f>"65172024052517245576855"</f>
        <v>65172024052517245576855</v>
      </c>
      <c r="C433" s="9" t="s">
        <v>38</v>
      </c>
      <c r="D433" s="9" t="s">
        <v>37</v>
      </c>
      <c r="E433" s="9" t="str">
        <f aca="true" t="shared" si="44" ref="E433:E439">"240605"</f>
        <v>240605</v>
      </c>
      <c r="F433" s="9" t="str">
        <f>"蔡玉卓"</f>
        <v>蔡玉卓</v>
      </c>
      <c r="G433" s="9" t="str">
        <f aca="true" t="shared" si="45" ref="G433:G442">"女"</f>
        <v>女</v>
      </c>
      <c r="H433" s="8"/>
    </row>
    <row r="434" spans="1:8" ht="34.5" customHeight="1">
      <c r="A434" s="8">
        <v>431</v>
      </c>
      <c r="B434" s="9" t="str">
        <f>"65172024052712174580416"</f>
        <v>65172024052712174580416</v>
      </c>
      <c r="C434" s="9" t="s">
        <v>38</v>
      </c>
      <c r="D434" s="9" t="s">
        <v>37</v>
      </c>
      <c r="E434" s="9" t="str">
        <f t="shared" si="44"/>
        <v>240605</v>
      </c>
      <c r="F434" s="9" t="str">
        <f>"吴茜"</f>
        <v>吴茜</v>
      </c>
      <c r="G434" s="9" t="str">
        <f t="shared" si="45"/>
        <v>女</v>
      </c>
      <c r="H434" s="8"/>
    </row>
    <row r="435" spans="1:8" ht="34.5" customHeight="1">
      <c r="A435" s="8">
        <v>432</v>
      </c>
      <c r="B435" s="9" t="str">
        <f>"65172024052823321886050"</f>
        <v>65172024052823321886050</v>
      </c>
      <c r="C435" s="9" t="s">
        <v>38</v>
      </c>
      <c r="D435" s="9" t="s">
        <v>37</v>
      </c>
      <c r="E435" s="9" t="str">
        <f t="shared" si="44"/>
        <v>240605</v>
      </c>
      <c r="F435" s="9" t="str">
        <f>"刘彦菲"</f>
        <v>刘彦菲</v>
      </c>
      <c r="G435" s="9" t="str">
        <f t="shared" si="45"/>
        <v>女</v>
      </c>
      <c r="H435" s="8"/>
    </row>
    <row r="436" spans="1:8" ht="34.5" customHeight="1">
      <c r="A436" s="8">
        <v>433</v>
      </c>
      <c r="B436" s="9" t="str">
        <f>"651720240603175440124288"</f>
        <v>651720240603175440124288</v>
      </c>
      <c r="C436" s="9" t="s">
        <v>38</v>
      </c>
      <c r="D436" s="9" t="s">
        <v>37</v>
      </c>
      <c r="E436" s="9" t="str">
        <f t="shared" si="44"/>
        <v>240605</v>
      </c>
      <c r="F436" s="9" t="str">
        <f>"麦雅婵"</f>
        <v>麦雅婵</v>
      </c>
      <c r="G436" s="9" t="str">
        <f t="shared" si="45"/>
        <v>女</v>
      </c>
      <c r="H436" s="8"/>
    </row>
    <row r="437" spans="1:8" ht="34.5" customHeight="1">
      <c r="A437" s="8">
        <v>434</v>
      </c>
      <c r="B437" s="9" t="str">
        <f>"651720240603133525121567"</f>
        <v>651720240603133525121567</v>
      </c>
      <c r="C437" s="9" t="s">
        <v>38</v>
      </c>
      <c r="D437" s="9" t="s">
        <v>37</v>
      </c>
      <c r="E437" s="9" t="str">
        <f t="shared" si="44"/>
        <v>240605</v>
      </c>
      <c r="F437" s="9" t="str">
        <f>"翟睿"</f>
        <v>翟睿</v>
      </c>
      <c r="G437" s="9" t="str">
        <f t="shared" si="45"/>
        <v>女</v>
      </c>
      <c r="H437" s="8"/>
    </row>
    <row r="438" spans="1:8" ht="34.5" customHeight="1">
      <c r="A438" s="8">
        <v>435</v>
      </c>
      <c r="B438" s="9" t="str">
        <f>"65172024052409331174153"</f>
        <v>65172024052409331174153</v>
      </c>
      <c r="C438" s="9" t="s">
        <v>38</v>
      </c>
      <c r="D438" s="9" t="s">
        <v>37</v>
      </c>
      <c r="E438" s="9" t="str">
        <f t="shared" si="44"/>
        <v>240605</v>
      </c>
      <c r="F438" s="9" t="str">
        <f>"冯金灿"</f>
        <v>冯金灿</v>
      </c>
      <c r="G438" s="9" t="str">
        <f t="shared" si="45"/>
        <v>女</v>
      </c>
      <c r="H438" s="8"/>
    </row>
    <row r="439" spans="1:8" ht="34.5" customHeight="1">
      <c r="A439" s="8">
        <v>436</v>
      </c>
      <c r="B439" s="9" t="str">
        <f>"651720240605133902136670"</f>
        <v>651720240605133902136670</v>
      </c>
      <c r="C439" s="9" t="s">
        <v>38</v>
      </c>
      <c r="D439" s="9" t="s">
        <v>37</v>
      </c>
      <c r="E439" s="9" t="str">
        <f t="shared" si="44"/>
        <v>240605</v>
      </c>
      <c r="F439" s="9" t="str">
        <f>"李子禹"</f>
        <v>李子禹</v>
      </c>
      <c r="G439" s="9" t="str">
        <f t="shared" si="45"/>
        <v>女</v>
      </c>
      <c r="H439" s="8"/>
    </row>
    <row r="440" spans="1:8" ht="34.5" customHeight="1">
      <c r="A440" s="8">
        <v>437</v>
      </c>
      <c r="B440" s="9" t="str">
        <f>"65172024052410081974300"</f>
        <v>65172024052410081974300</v>
      </c>
      <c r="C440" s="9" t="s">
        <v>38</v>
      </c>
      <c r="D440" s="9" t="s">
        <v>40</v>
      </c>
      <c r="E440" s="9" t="str">
        <f aca="true" t="shared" si="46" ref="E440:E445">"240606"</f>
        <v>240606</v>
      </c>
      <c r="F440" s="9" t="str">
        <f>"陈玉婷"</f>
        <v>陈玉婷</v>
      </c>
      <c r="G440" s="9" t="str">
        <f t="shared" si="45"/>
        <v>女</v>
      </c>
      <c r="H440" s="8"/>
    </row>
    <row r="441" spans="1:8" ht="34.5" customHeight="1">
      <c r="A441" s="8">
        <v>438</v>
      </c>
      <c r="B441" s="9" t="str">
        <f>"65172024052421470176065"</f>
        <v>65172024052421470176065</v>
      </c>
      <c r="C441" s="9" t="s">
        <v>38</v>
      </c>
      <c r="D441" s="9" t="s">
        <v>40</v>
      </c>
      <c r="E441" s="9" t="str">
        <f t="shared" si="46"/>
        <v>240606</v>
      </c>
      <c r="F441" s="9" t="str">
        <f>"王韵蕊"</f>
        <v>王韵蕊</v>
      </c>
      <c r="G441" s="9" t="str">
        <f t="shared" si="45"/>
        <v>女</v>
      </c>
      <c r="H441" s="8"/>
    </row>
    <row r="442" spans="1:8" ht="34.5" customHeight="1">
      <c r="A442" s="8">
        <v>439</v>
      </c>
      <c r="B442" s="9" t="str">
        <f>"65172024052613381677725"</f>
        <v>65172024052613381677725</v>
      </c>
      <c r="C442" s="9" t="s">
        <v>38</v>
      </c>
      <c r="D442" s="9" t="s">
        <v>40</v>
      </c>
      <c r="E442" s="9" t="str">
        <f t="shared" si="46"/>
        <v>240606</v>
      </c>
      <c r="F442" s="9" t="str">
        <f>"吴倩"</f>
        <v>吴倩</v>
      </c>
      <c r="G442" s="9" t="str">
        <f t="shared" si="45"/>
        <v>女</v>
      </c>
      <c r="H442" s="8"/>
    </row>
    <row r="443" spans="1:8" ht="34.5" customHeight="1">
      <c r="A443" s="8">
        <v>440</v>
      </c>
      <c r="B443" s="9" t="str">
        <f>"65172024052416530575656"</f>
        <v>65172024052416530575656</v>
      </c>
      <c r="C443" s="9" t="s">
        <v>38</v>
      </c>
      <c r="D443" s="9" t="s">
        <v>40</v>
      </c>
      <c r="E443" s="9" t="str">
        <f t="shared" si="46"/>
        <v>240606</v>
      </c>
      <c r="F443" s="9" t="str">
        <f>"陈立栋"</f>
        <v>陈立栋</v>
      </c>
      <c r="G443" s="9" t="str">
        <f>"男"</f>
        <v>男</v>
      </c>
      <c r="H443" s="8"/>
    </row>
    <row r="444" spans="1:8" ht="34.5" customHeight="1">
      <c r="A444" s="8">
        <v>441</v>
      </c>
      <c r="B444" s="9" t="str">
        <f>"651720240604080747126104"</f>
        <v>651720240604080747126104</v>
      </c>
      <c r="C444" s="9" t="s">
        <v>38</v>
      </c>
      <c r="D444" s="9" t="s">
        <v>40</v>
      </c>
      <c r="E444" s="9" t="str">
        <f t="shared" si="46"/>
        <v>240606</v>
      </c>
      <c r="F444" s="9" t="str">
        <f>"符桃英"</f>
        <v>符桃英</v>
      </c>
      <c r="G444" s="9" t="str">
        <f aca="true" t="shared" si="47" ref="G444:G458">"女"</f>
        <v>女</v>
      </c>
      <c r="H444" s="8"/>
    </row>
    <row r="445" spans="1:8" ht="34.5" customHeight="1">
      <c r="A445" s="8">
        <v>442</v>
      </c>
      <c r="B445" s="9" t="str">
        <f>"651720240605170234139914"</f>
        <v>651720240605170234139914</v>
      </c>
      <c r="C445" s="9" t="s">
        <v>38</v>
      </c>
      <c r="D445" s="9" t="s">
        <v>40</v>
      </c>
      <c r="E445" s="9" t="str">
        <f t="shared" si="46"/>
        <v>240606</v>
      </c>
      <c r="F445" s="9" t="str">
        <f>"曾彦"</f>
        <v>曾彦</v>
      </c>
      <c r="G445" s="9" t="str">
        <f t="shared" si="47"/>
        <v>女</v>
      </c>
      <c r="H445" s="8"/>
    </row>
    <row r="446" spans="1:8" ht="34.5" customHeight="1">
      <c r="A446" s="8">
        <v>443</v>
      </c>
      <c r="B446" s="9" t="str">
        <f>"65172024052417563975802"</f>
        <v>65172024052417563975802</v>
      </c>
      <c r="C446" s="9" t="s">
        <v>38</v>
      </c>
      <c r="D446" s="9" t="s">
        <v>33</v>
      </c>
      <c r="E446" s="9" t="str">
        <f aca="true" t="shared" si="48" ref="E446:E451">"240607"</f>
        <v>240607</v>
      </c>
      <c r="F446" s="9" t="str">
        <f>"黄靖雅"</f>
        <v>黄靖雅</v>
      </c>
      <c r="G446" s="9" t="str">
        <f t="shared" si="47"/>
        <v>女</v>
      </c>
      <c r="H446" s="8"/>
    </row>
    <row r="447" spans="1:8" ht="34.5" customHeight="1">
      <c r="A447" s="8">
        <v>444</v>
      </c>
      <c r="B447" s="9" t="str">
        <f>"65172024052712195080423"</f>
        <v>65172024052712195080423</v>
      </c>
      <c r="C447" s="9" t="s">
        <v>38</v>
      </c>
      <c r="D447" s="9" t="s">
        <v>33</v>
      </c>
      <c r="E447" s="9" t="str">
        <f t="shared" si="48"/>
        <v>240607</v>
      </c>
      <c r="F447" s="9" t="str">
        <f>"何怡"</f>
        <v>何怡</v>
      </c>
      <c r="G447" s="9" t="str">
        <f t="shared" si="47"/>
        <v>女</v>
      </c>
      <c r="H447" s="8"/>
    </row>
    <row r="448" spans="1:8" ht="34.5" customHeight="1">
      <c r="A448" s="8">
        <v>445</v>
      </c>
      <c r="B448" s="9" t="str">
        <f>"65172024052817003384162"</f>
        <v>65172024052817003384162</v>
      </c>
      <c r="C448" s="9" t="s">
        <v>38</v>
      </c>
      <c r="D448" s="9" t="s">
        <v>33</v>
      </c>
      <c r="E448" s="9" t="str">
        <f t="shared" si="48"/>
        <v>240607</v>
      </c>
      <c r="F448" s="9" t="str">
        <f>"孙树勤"</f>
        <v>孙树勤</v>
      </c>
      <c r="G448" s="9" t="str">
        <f t="shared" si="47"/>
        <v>女</v>
      </c>
      <c r="H448" s="8"/>
    </row>
    <row r="449" spans="1:8" ht="34.5" customHeight="1">
      <c r="A449" s="8">
        <v>446</v>
      </c>
      <c r="B449" s="9" t="str">
        <f>"651720240531135019102736"</f>
        <v>651720240531135019102736</v>
      </c>
      <c r="C449" s="9" t="s">
        <v>38</v>
      </c>
      <c r="D449" s="9" t="s">
        <v>33</v>
      </c>
      <c r="E449" s="9" t="str">
        <f t="shared" si="48"/>
        <v>240607</v>
      </c>
      <c r="F449" s="9" t="str">
        <f>"杜海恋"</f>
        <v>杜海恋</v>
      </c>
      <c r="G449" s="9" t="str">
        <f t="shared" si="47"/>
        <v>女</v>
      </c>
      <c r="H449" s="8"/>
    </row>
    <row r="450" spans="1:8" ht="34.5" customHeight="1">
      <c r="A450" s="8">
        <v>447</v>
      </c>
      <c r="B450" s="9" t="str">
        <f>"651720240531123945102318"</f>
        <v>651720240531123945102318</v>
      </c>
      <c r="C450" s="9" t="s">
        <v>38</v>
      </c>
      <c r="D450" s="9" t="s">
        <v>33</v>
      </c>
      <c r="E450" s="9" t="str">
        <f t="shared" si="48"/>
        <v>240607</v>
      </c>
      <c r="F450" s="9" t="str">
        <f>"黄舒雨"</f>
        <v>黄舒雨</v>
      </c>
      <c r="G450" s="9" t="str">
        <f t="shared" si="47"/>
        <v>女</v>
      </c>
      <c r="H450" s="8"/>
    </row>
    <row r="451" spans="1:8" ht="34.5" customHeight="1">
      <c r="A451" s="8">
        <v>448</v>
      </c>
      <c r="B451" s="9" t="str">
        <f>"651720240604162245130063"</f>
        <v>651720240604162245130063</v>
      </c>
      <c r="C451" s="9" t="s">
        <v>38</v>
      </c>
      <c r="D451" s="9" t="s">
        <v>33</v>
      </c>
      <c r="E451" s="9" t="str">
        <f t="shared" si="48"/>
        <v>240607</v>
      </c>
      <c r="F451" s="9" t="str">
        <f>"杜雪怡"</f>
        <v>杜雪怡</v>
      </c>
      <c r="G451" s="9" t="str">
        <f t="shared" si="47"/>
        <v>女</v>
      </c>
      <c r="H451" s="8"/>
    </row>
    <row r="452" spans="1:8" ht="34.5" customHeight="1">
      <c r="A452" s="8">
        <v>449</v>
      </c>
      <c r="B452" s="9" t="str">
        <f>"65172024052410190874342"</f>
        <v>65172024052410190874342</v>
      </c>
      <c r="C452" s="9" t="s">
        <v>41</v>
      </c>
      <c r="D452" s="9" t="s">
        <v>35</v>
      </c>
      <c r="E452" s="9" t="str">
        <f aca="true" t="shared" si="49" ref="E452:E458">"240701"</f>
        <v>240701</v>
      </c>
      <c r="F452" s="9" t="str">
        <f>"魏晨伊"</f>
        <v>魏晨伊</v>
      </c>
      <c r="G452" s="9" t="str">
        <f t="shared" si="47"/>
        <v>女</v>
      </c>
      <c r="H452" s="8"/>
    </row>
    <row r="453" spans="1:8" ht="34.5" customHeight="1">
      <c r="A453" s="8">
        <v>450</v>
      </c>
      <c r="B453" s="9" t="str">
        <f>"65172024052701403078696"</f>
        <v>65172024052701403078696</v>
      </c>
      <c r="C453" s="9" t="s">
        <v>41</v>
      </c>
      <c r="D453" s="9" t="s">
        <v>35</v>
      </c>
      <c r="E453" s="9" t="str">
        <f t="shared" si="49"/>
        <v>240701</v>
      </c>
      <c r="F453" s="9" t="str">
        <f>"孙雪慧"</f>
        <v>孙雪慧</v>
      </c>
      <c r="G453" s="9" t="str">
        <f t="shared" si="47"/>
        <v>女</v>
      </c>
      <c r="H453" s="8"/>
    </row>
    <row r="454" spans="1:8" ht="34.5" customHeight="1">
      <c r="A454" s="8">
        <v>451</v>
      </c>
      <c r="B454" s="9" t="str">
        <f>"65172024052709040478849"</f>
        <v>65172024052709040478849</v>
      </c>
      <c r="C454" s="9" t="s">
        <v>41</v>
      </c>
      <c r="D454" s="9" t="s">
        <v>35</v>
      </c>
      <c r="E454" s="9" t="str">
        <f t="shared" si="49"/>
        <v>240701</v>
      </c>
      <c r="F454" s="9" t="str">
        <f>"亢雪倩"</f>
        <v>亢雪倩</v>
      </c>
      <c r="G454" s="9" t="str">
        <f t="shared" si="47"/>
        <v>女</v>
      </c>
      <c r="H454" s="8"/>
    </row>
    <row r="455" spans="1:8" ht="34.5" customHeight="1">
      <c r="A455" s="8">
        <v>452</v>
      </c>
      <c r="B455" s="9" t="str">
        <f>"65172024052710242379761"</f>
        <v>65172024052710242379761</v>
      </c>
      <c r="C455" s="9" t="s">
        <v>41</v>
      </c>
      <c r="D455" s="9" t="s">
        <v>35</v>
      </c>
      <c r="E455" s="9" t="str">
        <f t="shared" si="49"/>
        <v>240701</v>
      </c>
      <c r="F455" s="9" t="str">
        <f>"洪川"</f>
        <v>洪川</v>
      </c>
      <c r="G455" s="9" t="str">
        <f t="shared" si="47"/>
        <v>女</v>
      </c>
      <c r="H455" s="8"/>
    </row>
    <row r="456" spans="1:8" ht="34.5" customHeight="1">
      <c r="A456" s="8">
        <v>453</v>
      </c>
      <c r="B456" s="9" t="str">
        <f>"651720240601104942109920"</f>
        <v>651720240601104942109920</v>
      </c>
      <c r="C456" s="9" t="s">
        <v>41</v>
      </c>
      <c r="D456" s="9" t="s">
        <v>35</v>
      </c>
      <c r="E456" s="9" t="str">
        <f t="shared" si="49"/>
        <v>240701</v>
      </c>
      <c r="F456" s="9" t="str">
        <f>"邓亮妹"</f>
        <v>邓亮妹</v>
      </c>
      <c r="G456" s="9" t="str">
        <f t="shared" si="47"/>
        <v>女</v>
      </c>
      <c r="H456" s="8"/>
    </row>
    <row r="457" spans="1:8" ht="34.5" customHeight="1">
      <c r="A457" s="8">
        <v>454</v>
      </c>
      <c r="B457" s="9" t="str">
        <f>"651720240602140446114297"</f>
        <v>651720240602140446114297</v>
      </c>
      <c r="C457" s="9" t="s">
        <v>41</v>
      </c>
      <c r="D457" s="9" t="s">
        <v>35</v>
      </c>
      <c r="E457" s="9" t="str">
        <f t="shared" si="49"/>
        <v>240701</v>
      </c>
      <c r="F457" s="9" t="str">
        <f>"苏欣"</f>
        <v>苏欣</v>
      </c>
      <c r="G457" s="9" t="str">
        <f t="shared" si="47"/>
        <v>女</v>
      </c>
      <c r="H457" s="8"/>
    </row>
    <row r="458" spans="1:8" ht="34.5" customHeight="1">
      <c r="A458" s="8">
        <v>455</v>
      </c>
      <c r="B458" s="9" t="str">
        <f>"651720240605092322133057"</f>
        <v>651720240605092322133057</v>
      </c>
      <c r="C458" s="9" t="s">
        <v>41</v>
      </c>
      <c r="D458" s="9" t="s">
        <v>35</v>
      </c>
      <c r="E458" s="9" t="str">
        <f t="shared" si="49"/>
        <v>240701</v>
      </c>
      <c r="F458" s="9" t="str">
        <f>"黄妹"</f>
        <v>黄妹</v>
      </c>
      <c r="G458" s="9" t="str">
        <f t="shared" si="47"/>
        <v>女</v>
      </c>
      <c r="H458" s="8"/>
    </row>
    <row r="459" spans="1:8" ht="34.5" customHeight="1">
      <c r="A459" s="8">
        <v>456</v>
      </c>
      <c r="B459" s="9" t="str">
        <f>"65172024052412455074856"</f>
        <v>65172024052412455074856</v>
      </c>
      <c r="C459" s="9" t="s">
        <v>41</v>
      </c>
      <c r="D459" s="9" t="s">
        <v>32</v>
      </c>
      <c r="E459" s="9" t="str">
        <f aca="true" t="shared" si="50" ref="E459:E464">"240702"</f>
        <v>240702</v>
      </c>
      <c r="F459" s="9" t="str">
        <f>"唐玉年"</f>
        <v>唐玉年</v>
      </c>
      <c r="G459" s="9" t="str">
        <f>"男"</f>
        <v>男</v>
      </c>
      <c r="H459" s="8"/>
    </row>
    <row r="460" spans="1:8" ht="34.5" customHeight="1">
      <c r="A460" s="8">
        <v>457</v>
      </c>
      <c r="B460" s="9" t="str">
        <f>"65172024052420305675981"</f>
        <v>65172024052420305675981</v>
      </c>
      <c r="C460" s="9" t="s">
        <v>41</v>
      </c>
      <c r="D460" s="9" t="s">
        <v>32</v>
      </c>
      <c r="E460" s="9" t="str">
        <f t="shared" si="50"/>
        <v>240702</v>
      </c>
      <c r="F460" s="9" t="str">
        <f>"郭真锐"</f>
        <v>郭真锐</v>
      </c>
      <c r="G460" s="9" t="str">
        <f>"男"</f>
        <v>男</v>
      </c>
      <c r="H460" s="8"/>
    </row>
    <row r="461" spans="1:8" ht="34.5" customHeight="1">
      <c r="A461" s="8">
        <v>458</v>
      </c>
      <c r="B461" s="9" t="str">
        <f>"65172024052612283477634"</f>
        <v>65172024052612283477634</v>
      </c>
      <c r="C461" s="9" t="s">
        <v>41</v>
      </c>
      <c r="D461" s="9" t="s">
        <v>32</v>
      </c>
      <c r="E461" s="9" t="str">
        <f t="shared" si="50"/>
        <v>240702</v>
      </c>
      <c r="F461" s="9" t="str">
        <f>"张璇"</f>
        <v>张璇</v>
      </c>
      <c r="G461" s="9" t="str">
        <f>"女"</f>
        <v>女</v>
      </c>
      <c r="H461" s="8" t="s">
        <v>42</v>
      </c>
    </row>
    <row r="462" spans="1:8" ht="34.5" customHeight="1">
      <c r="A462" s="8">
        <v>459</v>
      </c>
      <c r="B462" s="9" t="str">
        <f>"65172024052417252775742"</f>
        <v>65172024052417252775742</v>
      </c>
      <c r="C462" s="9" t="s">
        <v>41</v>
      </c>
      <c r="D462" s="9" t="s">
        <v>32</v>
      </c>
      <c r="E462" s="9" t="str">
        <f t="shared" si="50"/>
        <v>240702</v>
      </c>
      <c r="F462" s="9" t="str">
        <f>"罗浩"</f>
        <v>罗浩</v>
      </c>
      <c r="G462" s="9" t="str">
        <f>"男"</f>
        <v>男</v>
      </c>
      <c r="H462" s="8"/>
    </row>
    <row r="463" spans="1:8" ht="34.5" customHeight="1">
      <c r="A463" s="8">
        <v>460</v>
      </c>
      <c r="B463" s="9" t="str">
        <f>"65172024052922342791122"</f>
        <v>65172024052922342791122</v>
      </c>
      <c r="C463" s="9" t="s">
        <v>41</v>
      </c>
      <c r="D463" s="9" t="s">
        <v>32</v>
      </c>
      <c r="E463" s="9" t="str">
        <f t="shared" si="50"/>
        <v>240702</v>
      </c>
      <c r="F463" s="9" t="str">
        <f>"符明进"</f>
        <v>符明进</v>
      </c>
      <c r="G463" s="9" t="str">
        <f>"男"</f>
        <v>男</v>
      </c>
      <c r="H463" s="8"/>
    </row>
    <row r="464" spans="1:8" ht="34.5" customHeight="1">
      <c r="A464" s="8">
        <v>461</v>
      </c>
      <c r="B464" s="9" t="str">
        <f>"65172024052800423382812"</f>
        <v>65172024052800423382812</v>
      </c>
      <c r="C464" s="9" t="s">
        <v>41</v>
      </c>
      <c r="D464" s="9" t="s">
        <v>32</v>
      </c>
      <c r="E464" s="9" t="str">
        <f t="shared" si="50"/>
        <v>240702</v>
      </c>
      <c r="F464" s="9" t="str">
        <f>"邵世强"</f>
        <v>邵世强</v>
      </c>
      <c r="G464" s="9" t="str">
        <f>"男"</f>
        <v>男</v>
      </c>
      <c r="H464" s="8"/>
    </row>
    <row r="465" spans="1:8" ht="34.5" customHeight="1">
      <c r="A465" s="8">
        <v>462</v>
      </c>
      <c r="B465" s="9" t="str">
        <f>"65172024052409083274036"</f>
        <v>65172024052409083274036</v>
      </c>
      <c r="C465" s="9" t="s">
        <v>41</v>
      </c>
      <c r="D465" s="9" t="s">
        <v>33</v>
      </c>
      <c r="E465" s="9" t="str">
        <f aca="true" t="shared" si="51" ref="E465:E470">"240703"</f>
        <v>240703</v>
      </c>
      <c r="F465" s="9" t="str">
        <f>"符家峰"</f>
        <v>符家峰</v>
      </c>
      <c r="G465" s="9" t="str">
        <f>"男"</f>
        <v>男</v>
      </c>
      <c r="H465" s="8"/>
    </row>
    <row r="466" spans="1:8" ht="34.5" customHeight="1">
      <c r="A466" s="8">
        <v>463</v>
      </c>
      <c r="B466" s="9" t="str">
        <f>"65172024052723574682778"</f>
        <v>65172024052723574682778</v>
      </c>
      <c r="C466" s="9" t="s">
        <v>41</v>
      </c>
      <c r="D466" s="9" t="s">
        <v>33</v>
      </c>
      <c r="E466" s="9" t="str">
        <f t="shared" si="51"/>
        <v>240703</v>
      </c>
      <c r="F466" s="9" t="str">
        <f>"黄倩"</f>
        <v>黄倩</v>
      </c>
      <c r="G466" s="9" t="str">
        <f>"女"</f>
        <v>女</v>
      </c>
      <c r="H466" s="8"/>
    </row>
    <row r="467" spans="1:8" ht="34.5" customHeight="1">
      <c r="A467" s="8">
        <v>464</v>
      </c>
      <c r="B467" s="9" t="str">
        <f>"651720240531092201100537"</f>
        <v>651720240531092201100537</v>
      </c>
      <c r="C467" s="9" t="s">
        <v>41</v>
      </c>
      <c r="D467" s="9" t="s">
        <v>33</v>
      </c>
      <c r="E467" s="9" t="str">
        <f t="shared" si="51"/>
        <v>240703</v>
      </c>
      <c r="F467" s="9" t="str">
        <f>"邢琳琳"</f>
        <v>邢琳琳</v>
      </c>
      <c r="G467" s="9" t="str">
        <f>"女"</f>
        <v>女</v>
      </c>
      <c r="H467" s="8"/>
    </row>
    <row r="468" spans="1:8" ht="34.5" customHeight="1">
      <c r="A468" s="8">
        <v>465</v>
      </c>
      <c r="B468" s="9" t="str">
        <f>"65172024052612461377654"</f>
        <v>65172024052612461377654</v>
      </c>
      <c r="C468" s="9" t="s">
        <v>41</v>
      </c>
      <c r="D468" s="9" t="s">
        <v>33</v>
      </c>
      <c r="E468" s="9" t="str">
        <f t="shared" si="51"/>
        <v>240703</v>
      </c>
      <c r="F468" s="9" t="str">
        <f>"罗张芬"</f>
        <v>罗张芬</v>
      </c>
      <c r="G468" s="9" t="str">
        <f>"女"</f>
        <v>女</v>
      </c>
      <c r="H468" s="8"/>
    </row>
    <row r="469" spans="1:8" ht="34.5" customHeight="1">
      <c r="A469" s="8">
        <v>466</v>
      </c>
      <c r="B469" s="9" t="str">
        <f>"651720240603080530117802"</f>
        <v>651720240603080530117802</v>
      </c>
      <c r="C469" s="9" t="s">
        <v>41</v>
      </c>
      <c r="D469" s="9" t="s">
        <v>33</v>
      </c>
      <c r="E469" s="9" t="str">
        <f t="shared" si="51"/>
        <v>240703</v>
      </c>
      <c r="F469" s="9" t="str">
        <f>"王晨"</f>
        <v>王晨</v>
      </c>
      <c r="G469" s="9" t="str">
        <f>"男"</f>
        <v>男</v>
      </c>
      <c r="H469" s="8"/>
    </row>
    <row r="470" spans="1:8" ht="34.5" customHeight="1">
      <c r="A470" s="8">
        <v>467</v>
      </c>
      <c r="B470" s="9" t="str">
        <f>"651720240603132335121467"</f>
        <v>651720240603132335121467</v>
      </c>
      <c r="C470" s="9" t="s">
        <v>41</v>
      </c>
      <c r="D470" s="9" t="s">
        <v>33</v>
      </c>
      <c r="E470" s="9" t="str">
        <f t="shared" si="51"/>
        <v>240703</v>
      </c>
      <c r="F470" s="9" t="str">
        <f>"韦如军"</f>
        <v>韦如军</v>
      </c>
      <c r="G470" s="9" t="str">
        <f aca="true" t="shared" si="52" ref="G470:G493">"女"</f>
        <v>女</v>
      </c>
      <c r="H470" s="8"/>
    </row>
    <row r="471" spans="1:8" ht="34.5" customHeight="1">
      <c r="A471" s="8">
        <v>468</v>
      </c>
      <c r="B471" s="9" t="str">
        <f>"65172024052416045475478"</f>
        <v>65172024052416045475478</v>
      </c>
      <c r="C471" s="9" t="s">
        <v>43</v>
      </c>
      <c r="D471" s="9" t="s">
        <v>39</v>
      </c>
      <c r="E471" s="9" t="str">
        <f aca="true" t="shared" si="53" ref="E471:E490">"240801"</f>
        <v>240801</v>
      </c>
      <c r="F471" s="9" t="str">
        <f>"程樱"</f>
        <v>程樱</v>
      </c>
      <c r="G471" s="9" t="str">
        <f t="shared" si="52"/>
        <v>女</v>
      </c>
      <c r="H471" s="8"/>
    </row>
    <row r="472" spans="1:8" ht="34.5" customHeight="1">
      <c r="A472" s="8">
        <v>469</v>
      </c>
      <c r="B472" s="9" t="str">
        <f>"65172024052422543876132"</f>
        <v>65172024052422543876132</v>
      </c>
      <c r="C472" s="9" t="s">
        <v>43</v>
      </c>
      <c r="D472" s="9" t="s">
        <v>39</v>
      </c>
      <c r="E472" s="9" t="str">
        <f t="shared" si="53"/>
        <v>240801</v>
      </c>
      <c r="F472" s="9" t="str">
        <f>"何嘉嘉"</f>
        <v>何嘉嘉</v>
      </c>
      <c r="G472" s="9" t="str">
        <f t="shared" si="52"/>
        <v>女</v>
      </c>
      <c r="H472" s="8"/>
    </row>
    <row r="473" spans="1:8" ht="34.5" customHeight="1">
      <c r="A473" s="8">
        <v>470</v>
      </c>
      <c r="B473" s="9" t="str">
        <f>"65172024052518223976918"</f>
        <v>65172024052518223976918</v>
      </c>
      <c r="C473" s="9" t="s">
        <v>43</v>
      </c>
      <c r="D473" s="9" t="s">
        <v>39</v>
      </c>
      <c r="E473" s="9" t="str">
        <f t="shared" si="53"/>
        <v>240801</v>
      </c>
      <c r="F473" s="9" t="str">
        <f>"邓倩敏"</f>
        <v>邓倩敏</v>
      </c>
      <c r="G473" s="9" t="str">
        <f t="shared" si="52"/>
        <v>女</v>
      </c>
      <c r="H473" s="8"/>
    </row>
    <row r="474" spans="1:8" ht="34.5" customHeight="1">
      <c r="A474" s="8">
        <v>471</v>
      </c>
      <c r="B474" s="9" t="str">
        <f>"65172024052614190877791"</f>
        <v>65172024052614190877791</v>
      </c>
      <c r="C474" s="9" t="s">
        <v>43</v>
      </c>
      <c r="D474" s="9" t="s">
        <v>39</v>
      </c>
      <c r="E474" s="9" t="str">
        <f t="shared" si="53"/>
        <v>240801</v>
      </c>
      <c r="F474" s="9" t="str">
        <f>"邢誉珊珊"</f>
        <v>邢誉珊珊</v>
      </c>
      <c r="G474" s="9" t="str">
        <f t="shared" si="52"/>
        <v>女</v>
      </c>
      <c r="H474" s="8"/>
    </row>
    <row r="475" spans="1:8" ht="34.5" customHeight="1">
      <c r="A475" s="8">
        <v>472</v>
      </c>
      <c r="B475" s="9" t="str">
        <f>"65172024052623105978590"</f>
        <v>65172024052623105978590</v>
      </c>
      <c r="C475" s="9" t="s">
        <v>43</v>
      </c>
      <c r="D475" s="9" t="s">
        <v>39</v>
      </c>
      <c r="E475" s="9" t="str">
        <f t="shared" si="53"/>
        <v>240801</v>
      </c>
      <c r="F475" s="9" t="str">
        <f>"刘依琳"</f>
        <v>刘依琳</v>
      </c>
      <c r="G475" s="9" t="str">
        <f t="shared" si="52"/>
        <v>女</v>
      </c>
      <c r="H475" s="8"/>
    </row>
    <row r="476" spans="1:8" ht="34.5" customHeight="1">
      <c r="A476" s="8">
        <v>473</v>
      </c>
      <c r="B476" s="9" t="str">
        <f>"65172024052522090977171"</f>
        <v>65172024052522090977171</v>
      </c>
      <c r="C476" s="9" t="s">
        <v>43</v>
      </c>
      <c r="D476" s="9" t="s">
        <v>39</v>
      </c>
      <c r="E476" s="9" t="str">
        <f t="shared" si="53"/>
        <v>240801</v>
      </c>
      <c r="F476" s="9" t="str">
        <f>"咸麟"</f>
        <v>咸麟</v>
      </c>
      <c r="G476" s="9" t="str">
        <f t="shared" si="52"/>
        <v>女</v>
      </c>
      <c r="H476" s="8"/>
    </row>
    <row r="477" spans="1:8" ht="34.5" customHeight="1">
      <c r="A477" s="8">
        <v>474</v>
      </c>
      <c r="B477" s="9" t="str">
        <f>"65172024052717422181800"</f>
        <v>65172024052717422181800</v>
      </c>
      <c r="C477" s="9" t="s">
        <v>43</v>
      </c>
      <c r="D477" s="9" t="s">
        <v>39</v>
      </c>
      <c r="E477" s="9" t="str">
        <f t="shared" si="53"/>
        <v>240801</v>
      </c>
      <c r="F477" s="9" t="str">
        <f>"熊厚"</f>
        <v>熊厚</v>
      </c>
      <c r="G477" s="9" t="str">
        <f t="shared" si="52"/>
        <v>女</v>
      </c>
      <c r="H477" s="8"/>
    </row>
    <row r="478" spans="1:8" ht="34.5" customHeight="1">
      <c r="A478" s="8">
        <v>475</v>
      </c>
      <c r="B478" s="9" t="str">
        <f>"65172024052409094874046"</f>
        <v>65172024052409094874046</v>
      </c>
      <c r="C478" s="9" t="s">
        <v>43</v>
      </c>
      <c r="D478" s="9" t="s">
        <v>39</v>
      </c>
      <c r="E478" s="9" t="str">
        <f t="shared" si="53"/>
        <v>240801</v>
      </c>
      <c r="F478" s="9" t="str">
        <f>"林子婷"</f>
        <v>林子婷</v>
      </c>
      <c r="G478" s="9" t="str">
        <f t="shared" si="52"/>
        <v>女</v>
      </c>
      <c r="H478" s="8"/>
    </row>
    <row r="479" spans="1:8" ht="34.5" customHeight="1">
      <c r="A479" s="8">
        <v>476</v>
      </c>
      <c r="B479" s="9" t="str">
        <f>"65172024052410143974330"</f>
        <v>65172024052410143974330</v>
      </c>
      <c r="C479" s="9" t="s">
        <v>43</v>
      </c>
      <c r="D479" s="9" t="s">
        <v>39</v>
      </c>
      <c r="E479" s="9" t="str">
        <f t="shared" si="53"/>
        <v>240801</v>
      </c>
      <c r="F479" s="9" t="str">
        <f>"吴羽灵"</f>
        <v>吴羽灵</v>
      </c>
      <c r="G479" s="9" t="str">
        <f t="shared" si="52"/>
        <v>女</v>
      </c>
      <c r="H479" s="8"/>
    </row>
    <row r="480" spans="1:8" ht="34.5" customHeight="1">
      <c r="A480" s="8">
        <v>477</v>
      </c>
      <c r="B480" s="9" t="str">
        <f>"65172024053017294697495"</f>
        <v>65172024053017294697495</v>
      </c>
      <c r="C480" s="9" t="s">
        <v>43</v>
      </c>
      <c r="D480" s="9" t="s">
        <v>39</v>
      </c>
      <c r="E480" s="9" t="str">
        <f t="shared" si="53"/>
        <v>240801</v>
      </c>
      <c r="F480" s="9" t="str">
        <f>"彭嘉欣"</f>
        <v>彭嘉欣</v>
      </c>
      <c r="G480" s="9" t="str">
        <f t="shared" si="52"/>
        <v>女</v>
      </c>
      <c r="H480" s="8"/>
    </row>
    <row r="481" spans="1:8" ht="34.5" customHeight="1">
      <c r="A481" s="8">
        <v>478</v>
      </c>
      <c r="B481" s="9" t="str">
        <f>"65172024052910115786712"</f>
        <v>65172024052910115786712</v>
      </c>
      <c r="C481" s="9" t="s">
        <v>43</v>
      </c>
      <c r="D481" s="9" t="s">
        <v>39</v>
      </c>
      <c r="E481" s="9" t="str">
        <f t="shared" si="53"/>
        <v>240801</v>
      </c>
      <c r="F481" s="9" t="str">
        <f>"曾云兰"</f>
        <v>曾云兰</v>
      </c>
      <c r="G481" s="9" t="str">
        <f t="shared" si="52"/>
        <v>女</v>
      </c>
      <c r="H481" s="8"/>
    </row>
    <row r="482" spans="1:8" ht="34.5" customHeight="1">
      <c r="A482" s="8">
        <v>479</v>
      </c>
      <c r="B482" s="9" t="str">
        <f>"651720240602130415114056"</f>
        <v>651720240602130415114056</v>
      </c>
      <c r="C482" s="9" t="s">
        <v>43</v>
      </c>
      <c r="D482" s="9" t="s">
        <v>39</v>
      </c>
      <c r="E482" s="9" t="str">
        <f t="shared" si="53"/>
        <v>240801</v>
      </c>
      <c r="F482" s="9" t="str">
        <f>"吴妃妃"</f>
        <v>吴妃妃</v>
      </c>
      <c r="G482" s="9" t="str">
        <f t="shared" si="52"/>
        <v>女</v>
      </c>
      <c r="H482" s="8"/>
    </row>
    <row r="483" spans="1:8" ht="34.5" customHeight="1">
      <c r="A483" s="8">
        <v>480</v>
      </c>
      <c r="B483" s="9" t="str">
        <f>"651720240602180239115525"</f>
        <v>651720240602180239115525</v>
      </c>
      <c r="C483" s="9" t="s">
        <v>43</v>
      </c>
      <c r="D483" s="9" t="s">
        <v>39</v>
      </c>
      <c r="E483" s="9" t="str">
        <f t="shared" si="53"/>
        <v>240801</v>
      </c>
      <c r="F483" s="9" t="str">
        <f>"黄馨锌"</f>
        <v>黄馨锌</v>
      </c>
      <c r="G483" s="9" t="str">
        <f t="shared" si="52"/>
        <v>女</v>
      </c>
      <c r="H483" s="8"/>
    </row>
    <row r="484" spans="1:8" ht="34.5" customHeight="1">
      <c r="A484" s="8">
        <v>481</v>
      </c>
      <c r="B484" s="9" t="str">
        <f>"651720240603220450125410"</f>
        <v>651720240603220450125410</v>
      </c>
      <c r="C484" s="9" t="s">
        <v>43</v>
      </c>
      <c r="D484" s="9" t="s">
        <v>39</v>
      </c>
      <c r="E484" s="9" t="str">
        <f t="shared" si="53"/>
        <v>240801</v>
      </c>
      <c r="F484" s="9" t="str">
        <f>"甘璐娜"</f>
        <v>甘璐娜</v>
      </c>
      <c r="G484" s="9" t="str">
        <f t="shared" si="52"/>
        <v>女</v>
      </c>
      <c r="H484" s="8"/>
    </row>
    <row r="485" spans="1:8" ht="34.5" customHeight="1">
      <c r="A485" s="8">
        <v>482</v>
      </c>
      <c r="B485" s="9" t="str">
        <f>"651720240603150454122464"</f>
        <v>651720240603150454122464</v>
      </c>
      <c r="C485" s="9" t="s">
        <v>43</v>
      </c>
      <c r="D485" s="9" t="s">
        <v>39</v>
      </c>
      <c r="E485" s="9" t="str">
        <f t="shared" si="53"/>
        <v>240801</v>
      </c>
      <c r="F485" s="9" t="str">
        <f>"李嘉昕"</f>
        <v>李嘉昕</v>
      </c>
      <c r="G485" s="9" t="str">
        <f t="shared" si="52"/>
        <v>女</v>
      </c>
      <c r="H485" s="8"/>
    </row>
    <row r="486" spans="1:8" ht="34.5" customHeight="1">
      <c r="A486" s="8">
        <v>483</v>
      </c>
      <c r="B486" s="9" t="str">
        <f>"651720240604114308127940"</f>
        <v>651720240604114308127940</v>
      </c>
      <c r="C486" s="9" t="s">
        <v>43</v>
      </c>
      <c r="D486" s="9" t="s">
        <v>39</v>
      </c>
      <c r="E486" s="9" t="str">
        <f t="shared" si="53"/>
        <v>240801</v>
      </c>
      <c r="F486" s="9" t="str">
        <f>"王忆婷"</f>
        <v>王忆婷</v>
      </c>
      <c r="G486" s="9" t="str">
        <f t="shared" si="52"/>
        <v>女</v>
      </c>
      <c r="H486" s="8"/>
    </row>
    <row r="487" spans="1:8" ht="34.5" customHeight="1">
      <c r="A487" s="8">
        <v>484</v>
      </c>
      <c r="B487" s="9" t="str">
        <f>"65172024052419034275895"</f>
        <v>65172024052419034275895</v>
      </c>
      <c r="C487" s="9" t="s">
        <v>43</v>
      </c>
      <c r="D487" s="9" t="s">
        <v>39</v>
      </c>
      <c r="E487" s="9" t="str">
        <f t="shared" si="53"/>
        <v>240801</v>
      </c>
      <c r="F487" s="9" t="str">
        <f>"石庆坤"</f>
        <v>石庆坤</v>
      </c>
      <c r="G487" s="9" t="str">
        <f t="shared" si="52"/>
        <v>女</v>
      </c>
      <c r="H487" s="8"/>
    </row>
    <row r="488" spans="1:8" ht="34.5" customHeight="1">
      <c r="A488" s="8">
        <v>485</v>
      </c>
      <c r="B488" s="9" t="str">
        <f>"651720240603132141121447"</f>
        <v>651720240603132141121447</v>
      </c>
      <c r="C488" s="9" t="s">
        <v>43</v>
      </c>
      <c r="D488" s="9" t="s">
        <v>39</v>
      </c>
      <c r="E488" s="9" t="str">
        <f t="shared" si="53"/>
        <v>240801</v>
      </c>
      <c r="F488" s="9" t="str">
        <f>"王冰"</f>
        <v>王冰</v>
      </c>
      <c r="G488" s="9" t="str">
        <f t="shared" si="52"/>
        <v>女</v>
      </c>
      <c r="H488" s="8"/>
    </row>
    <row r="489" spans="1:8" ht="34.5" customHeight="1">
      <c r="A489" s="8">
        <v>486</v>
      </c>
      <c r="B489" s="9" t="str">
        <f>"651720240604224027132243"</f>
        <v>651720240604224027132243</v>
      </c>
      <c r="C489" s="9" t="s">
        <v>43</v>
      </c>
      <c r="D489" s="9" t="s">
        <v>39</v>
      </c>
      <c r="E489" s="9" t="str">
        <f t="shared" si="53"/>
        <v>240801</v>
      </c>
      <c r="F489" s="9" t="str">
        <f>"邓俱仪"</f>
        <v>邓俱仪</v>
      </c>
      <c r="G489" s="9" t="str">
        <f t="shared" si="52"/>
        <v>女</v>
      </c>
      <c r="H489" s="8"/>
    </row>
    <row r="490" spans="1:8" ht="34.5" customHeight="1">
      <c r="A490" s="8">
        <v>487</v>
      </c>
      <c r="B490" s="9" t="str">
        <f>"651720240605152254139364"</f>
        <v>651720240605152254139364</v>
      </c>
      <c r="C490" s="9" t="s">
        <v>43</v>
      </c>
      <c r="D490" s="9" t="s">
        <v>39</v>
      </c>
      <c r="E490" s="9" t="str">
        <f t="shared" si="53"/>
        <v>240801</v>
      </c>
      <c r="F490" s="9" t="str">
        <f>"林欣欣"</f>
        <v>林欣欣</v>
      </c>
      <c r="G490" s="9" t="str">
        <f t="shared" si="52"/>
        <v>女</v>
      </c>
      <c r="H490" s="8"/>
    </row>
    <row r="491" spans="1:8" ht="34.5" customHeight="1">
      <c r="A491" s="8">
        <v>488</v>
      </c>
      <c r="B491" s="9" t="str">
        <f>"65172024052712264380454"</f>
        <v>65172024052712264380454</v>
      </c>
      <c r="C491" s="9" t="s">
        <v>43</v>
      </c>
      <c r="D491" s="9" t="s">
        <v>35</v>
      </c>
      <c r="E491" s="9" t="str">
        <f aca="true" t="shared" si="54" ref="E491:E500">"240802"</f>
        <v>240802</v>
      </c>
      <c r="F491" s="9" t="str">
        <f>"盆晓曼"</f>
        <v>盆晓曼</v>
      </c>
      <c r="G491" s="9" t="str">
        <f t="shared" si="52"/>
        <v>女</v>
      </c>
      <c r="H491" s="8"/>
    </row>
    <row r="492" spans="1:8" ht="34.5" customHeight="1">
      <c r="A492" s="8">
        <v>489</v>
      </c>
      <c r="B492" s="9" t="str">
        <f>"65172024052411432474670"</f>
        <v>65172024052411432474670</v>
      </c>
      <c r="C492" s="9" t="s">
        <v>43</v>
      </c>
      <c r="D492" s="9" t="s">
        <v>35</v>
      </c>
      <c r="E492" s="9" t="str">
        <f t="shared" si="54"/>
        <v>240802</v>
      </c>
      <c r="F492" s="9" t="str">
        <f>"吴菲"</f>
        <v>吴菲</v>
      </c>
      <c r="G492" s="9" t="str">
        <f t="shared" si="52"/>
        <v>女</v>
      </c>
      <c r="H492" s="8"/>
    </row>
    <row r="493" spans="1:8" ht="34.5" customHeight="1">
      <c r="A493" s="8">
        <v>490</v>
      </c>
      <c r="B493" s="9" t="str">
        <f>"651720240531175435107623"</f>
        <v>651720240531175435107623</v>
      </c>
      <c r="C493" s="9" t="s">
        <v>43</v>
      </c>
      <c r="D493" s="9" t="s">
        <v>35</v>
      </c>
      <c r="E493" s="9" t="str">
        <f t="shared" si="54"/>
        <v>240802</v>
      </c>
      <c r="F493" s="9" t="str">
        <f>"王丹丹"</f>
        <v>王丹丹</v>
      </c>
      <c r="G493" s="9" t="str">
        <f t="shared" si="52"/>
        <v>女</v>
      </c>
      <c r="H493" s="8"/>
    </row>
    <row r="494" spans="1:8" ht="34.5" customHeight="1">
      <c r="A494" s="8">
        <v>491</v>
      </c>
      <c r="B494" s="9" t="str">
        <f>"65172024052916461188588"</f>
        <v>65172024052916461188588</v>
      </c>
      <c r="C494" s="9" t="s">
        <v>43</v>
      </c>
      <c r="D494" s="9" t="s">
        <v>35</v>
      </c>
      <c r="E494" s="9" t="str">
        <f t="shared" si="54"/>
        <v>240802</v>
      </c>
      <c r="F494" s="9" t="str">
        <f>"李达文"</f>
        <v>李达文</v>
      </c>
      <c r="G494" s="9" t="str">
        <f>"男"</f>
        <v>男</v>
      </c>
      <c r="H494" s="8"/>
    </row>
    <row r="495" spans="1:8" ht="34.5" customHeight="1">
      <c r="A495" s="8">
        <v>492</v>
      </c>
      <c r="B495" s="9" t="str">
        <f>"651720240602205150116341"</f>
        <v>651720240602205150116341</v>
      </c>
      <c r="C495" s="9" t="s">
        <v>43</v>
      </c>
      <c r="D495" s="9" t="s">
        <v>35</v>
      </c>
      <c r="E495" s="9" t="str">
        <f t="shared" si="54"/>
        <v>240802</v>
      </c>
      <c r="F495" s="9" t="str">
        <f>"彭雅棋"</f>
        <v>彭雅棋</v>
      </c>
      <c r="G495" s="9" t="str">
        <f aca="true" t="shared" si="55" ref="G495:G500">"女"</f>
        <v>女</v>
      </c>
      <c r="H495" s="8"/>
    </row>
    <row r="496" spans="1:8" ht="34.5" customHeight="1">
      <c r="A496" s="8">
        <v>493</v>
      </c>
      <c r="B496" s="9" t="str">
        <f>"651720240603163245123671"</f>
        <v>651720240603163245123671</v>
      </c>
      <c r="C496" s="9" t="s">
        <v>43</v>
      </c>
      <c r="D496" s="9" t="s">
        <v>35</v>
      </c>
      <c r="E496" s="9" t="str">
        <f t="shared" si="54"/>
        <v>240802</v>
      </c>
      <c r="F496" s="9" t="str">
        <f>"王琳菊"</f>
        <v>王琳菊</v>
      </c>
      <c r="G496" s="9" t="str">
        <f t="shared" si="55"/>
        <v>女</v>
      </c>
      <c r="H496" s="8"/>
    </row>
    <row r="497" spans="1:8" ht="34.5" customHeight="1">
      <c r="A497" s="8">
        <v>494</v>
      </c>
      <c r="B497" s="9" t="str">
        <f>"65172024053012405794905"</f>
        <v>65172024053012405794905</v>
      </c>
      <c r="C497" s="9" t="s">
        <v>43</v>
      </c>
      <c r="D497" s="9" t="s">
        <v>35</v>
      </c>
      <c r="E497" s="9" t="str">
        <f t="shared" si="54"/>
        <v>240802</v>
      </c>
      <c r="F497" s="9" t="str">
        <f>"郑薇"</f>
        <v>郑薇</v>
      </c>
      <c r="G497" s="9" t="str">
        <f t="shared" si="55"/>
        <v>女</v>
      </c>
      <c r="H497" s="8"/>
    </row>
    <row r="498" spans="1:8" ht="34.5" customHeight="1">
      <c r="A498" s="8">
        <v>495</v>
      </c>
      <c r="B498" s="9" t="str">
        <f>"651720240604221445132118"</f>
        <v>651720240604221445132118</v>
      </c>
      <c r="C498" s="9" t="s">
        <v>43</v>
      </c>
      <c r="D498" s="9" t="s">
        <v>35</v>
      </c>
      <c r="E498" s="9" t="str">
        <f t="shared" si="54"/>
        <v>240802</v>
      </c>
      <c r="F498" s="9" t="str">
        <f>"王文花"</f>
        <v>王文花</v>
      </c>
      <c r="G498" s="9" t="str">
        <f t="shared" si="55"/>
        <v>女</v>
      </c>
      <c r="H498" s="8"/>
    </row>
    <row r="499" spans="1:8" ht="34.5" customHeight="1">
      <c r="A499" s="8">
        <v>496</v>
      </c>
      <c r="B499" s="9" t="str">
        <f>"651720240605101531133427"</f>
        <v>651720240605101531133427</v>
      </c>
      <c r="C499" s="9" t="s">
        <v>43</v>
      </c>
      <c r="D499" s="9" t="s">
        <v>35</v>
      </c>
      <c r="E499" s="9" t="str">
        <f t="shared" si="54"/>
        <v>240802</v>
      </c>
      <c r="F499" s="9" t="str">
        <f>"彭丽"</f>
        <v>彭丽</v>
      </c>
      <c r="G499" s="9" t="str">
        <f t="shared" si="55"/>
        <v>女</v>
      </c>
      <c r="H499" s="8"/>
    </row>
    <row r="500" spans="1:8" ht="34.5" customHeight="1">
      <c r="A500" s="8">
        <v>497</v>
      </c>
      <c r="B500" s="9" t="str">
        <f>"651720240605175549140144"</f>
        <v>651720240605175549140144</v>
      </c>
      <c r="C500" s="9" t="s">
        <v>43</v>
      </c>
      <c r="D500" s="9" t="s">
        <v>35</v>
      </c>
      <c r="E500" s="9" t="str">
        <f t="shared" si="54"/>
        <v>240802</v>
      </c>
      <c r="F500" s="9" t="str">
        <f>"姚静玮"</f>
        <v>姚静玮</v>
      </c>
      <c r="G500" s="9" t="str">
        <f t="shared" si="55"/>
        <v>女</v>
      </c>
      <c r="H500" s="8"/>
    </row>
    <row r="501" spans="1:8" ht="34.5" customHeight="1">
      <c r="A501" s="8">
        <v>498</v>
      </c>
      <c r="B501" s="9" t="str">
        <f>"65172024052413243074946"</f>
        <v>65172024052413243074946</v>
      </c>
      <c r="C501" s="9" t="s">
        <v>43</v>
      </c>
      <c r="D501" s="9" t="s">
        <v>32</v>
      </c>
      <c r="E501" s="9" t="str">
        <f>"240803"</f>
        <v>240803</v>
      </c>
      <c r="F501" s="9" t="str">
        <f>"刘天浩"</f>
        <v>刘天浩</v>
      </c>
      <c r="G501" s="9" t="str">
        <f>"男"</f>
        <v>男</v>
      </c>
      <c r="H501" s="8"/>
    </row>
    <row r="502" spans="1:8" ht="34.5" customHeight="1">
      <c r="A502" s="8">
        <v>499</v>
      </c>
      <c r="B502" s="9" t="str">
        <f>"65172024052918430589406"</f>
        <v>65172024052918430589406</v>
      </c>
      <c r="C502" s="9" t="s">
        <v>43</v>
      </c>
      <c r="D502" s="9" t="s">
        <v>32</v>
      </c>
      <c r="E502" s="9" t="str">
        <f>"240803"</f>
        <v>240803</v>
      </c>
      <c r="F502" s="9" t="str">
        <f>"李涛"</f>
        <v>李涛</v>
      </c>
      <c r="G502" s="9" t="str">
        <f>"男"</f>
        <v>男</v>
      </c>
      <c r="H502" s="8"/>
    </row>
    <row r="503" spans="1:8" ht="34.5" customHeight="1">
      <c r="A503" s="8">
        <v>500</v>
      </c>
      <c r="B503" s="9" t="str">
        <f>"65172024052714262380901"</f>
        <v>65172024052714262380901</v>
      </c>
      <c r="C503" s="9" t="s">
        <v>43</v>
      </c>
      <c r="D503" s="9" t="s">
        <v>32</v>
      </c>
      <c r="E503" s="9" t="str">
        <f>"240803"</f>
        <v>240803</v>
      </c>
      <c r="F503" s="9" t="str">
        <f>"王凤"</f>
        <v>王凤</v>
      </c>
      <c r="G503" s="9" t="str">
        <f>"女"</f>
        <v>女</v>
      </c>
      <c r="H503" s="8"/>
    </row>
    <row r="504" spans="1:8" ht="34.5" customHeight="1">
      <c r="A504" s="8">
        <v>501</v>
      </c>
      <c r="B504" s="9" t="str">
        <f>"65172024052616473978014"</f>
        <v>65172024052616473978014</v>
      </c>
      <c r="C504" s="9" t="s">
        <v>43</v>
      </c>
      <c r="D504" s="9" t="s">
        <v>32</v>
      </c>
      <c r="E504" s="9" t="str">
        <f>"240803"</f>
        <v>240803</v>
      </c>
      <c r="F504" s="9" t="str">
        <f>"陈启坎"</f>
        <v>陈启坎</v>
      </c>
      <c r="G504" s="9" t="str">
        <f>"男"</f>
        <v>男</v>
      </c>
      <c r="H504" s="8"/>
    </row>
    <row r="505" spans="1:8" ht="34.5" customHeight="1">
      <c r="A505" s="8">
        <v>502</v>
      </c>
      <c r="B505" s="9" t="str">
        <f>"65172024053017391097569"</f>
        <v>65172024053017391097569</v>
      </c>
      <c r="C505" s="9" t="s">
        <v>43</v>
      </c>
      <c r="D505" s="9" t="s">
        <v>32</v>
      </c>
      <c r="E505" s="9" t="str">
        <f>"240803"</f>
        <v>240803</v>
      </c>
      <c r="F505" s="9" t="str">
        <f>"田聪"</f>
        <v>田聪</v>
      </c>
      <c r="G505" s="9" t="str">
        <f>"男"</f>
        <v>男</v>
      </c>
      <c r="H505" s="8"/>
    </row>
    <row r="506" spans="1:8" ht="34.5" customHeight="1">
      <c r="A506" s="8">
        <v>503</v>
      </c>
      <c r="B506" s="9" t="str">
        <f>"65172024052620072278246"</f>
        <v>65172024052620072278246</v>
      </c>
      <c r="C506" s="9" t="s">
        <v>43</v>
      </c>
      <c r="D506" s="9" t="s">
        <v>40</v>
      </c>
      <c r="E506" s="9" t="str">
        <f>"240804"</f>
        <v>240804</v>
      </c>
      <c r="F506" s="9" t="str">
        <f>"黄丽婷"</f>
        <v>黄丽婷</v>
      </c>
      <c r="G506" s="9" t="str">
        <f>"女"</f>
        <v>女</v>
      </c>
      <c r="H506" s="8"/>
    </row>
    <row r="507" spans="1:8" ht="34.5" customHeight="1">
      <c r="A507" s="8">
        <v>504</v>
      </c>
      <c r="B507" s="9" t="str">
        <f>"65172024052816183884023"</f>
        <v>65172024052816183884023</v>
      </c>
      <c r="C507" s="9" t="s">
        <v>43</v>
      </c>
      <c r="D507" s="9" t="s">
        <v>40</v>
      </c>
      <c r="E507" s="9" t="str">
        <f>"240804"</f>
        <v>240804</v>
      </c>
      <c r="F507" s="9" t="str">
        <f>"薛发仁"</f>
        <v>薛发仁</v>
      </c>
      <c r="G507" s="9" t="str">
        <f>"男"</f>
        <v>男</v>
      </c>
      <c r="H507" s="8"/>
    </row>
    <row r="508" spans="1:8" ht="34.5" customHeight="1">
      <c r="A508" s="8">
        <v>505</v>
      </c>
      <c r="B508" s="9" t="str">
        <f>"65172024052523344377276"</f>
        <v>65172024052523344377276</v>
      </c>
      <c r="C508" s="9" t="s">
        <v>43</v>
      </c>
      <c r="D508" s="9" t="s">
        <v>40</v>
      </c>
      <c r="E508" s="9" t="str">
        <f>"240804"</f>
        <v>240804</v>
      </c>
      <c r="F508" s="9" t="str">
        <f>"吴青青"</f>
        <v>吴青青</v>
      </c>
      <c r="G508" s="9" t="str">
        <f aca="true" t="shared" si="56" ref="G508:G518">"女"</f>
        <v>女</v>
      </c>
      <c r="H508" s="8"/>
    </row>
    <row r="509" spans="1:8" ht="34.5" customHeight="1">
      <c r="A509" s="8">
        <v>506</v>
      </c>
      <c r="B509" s="9" t="str">
        <f>"65172024052412273274800"</f>
        <v>65172024052412273274800</v>
      </c>
      <c r="C509" s="9" t="s">
        <v>43</v>
      </c>
      <c r="D509" s="9" t="s">
        <v>33</v>
      </c>
      <c r="E509" s="9" t="str">
        <f aca="true" t="shared" si="57" ref="E509:E514">"240805"</f>
        <v>240805</v>
      </c>
      <c r="F509" s="9" t="str">
        <f>"柯静蕊"</f>
        <v>柯静蕊</v>
      </c>
      <c r="G509" s="9" t="str">
        <f t="shared" si="56"/>
        <v>女</v>
      </c>
      <c r="H509" s="8"/>
    </row>
    <row r="510" spans="1:8" ht="34.5" customHeight="1">
      <c r="A510" s="8">
        <v>507</v>
      </c>
      <c r="B510" s="9" t="str">
        <f>"65172024052910164286739"</f>
        <v>65172024052910164286739</v>
      </c>
      <c r="C510" s="9" t="s">
        <v>43</v>
      </c>
      <c r="D510" s="9" t="s">
        <v>33</v>
      </c>
      <c r="E510" s="9" t="str">
        <f t="shared" si="57"/>
        <v>240805</v>
      </c>
      <c r="F510" s="9" t="str">
        <f>"罗海秘"</f>
        <v>罗海秘</v>
      </c>
      <c r="G510" s="9" t="str">
        <f t="shared" si="56"/>
        <v>女</v>
      </c>
      <c r="H510" s="8"/>
    </row>
    <row r="511" spans="1:8" ht="34.5" customHeight="1">
      <c r="A511" s="8">
        <v>508</v>
      </c>
      <c r="B511" s="9" t="str">
        <f>"65172024052411050374534"</f>
        <v>65172024052411050374534</v>
      </c>
      <c r="C511" s="9" t="s">
        <v>43</v>
      </c>
      <c r="D511" s="9" t="s">
        <v>33</v>
      </c>
      <c r="E511" s="9" t="str">
        <f t="shared" si="57"/>
        <v>240805</v>
      </c>
      <c r="F511" s="9" t="str">
        <f>"吴凤英"</f>
        <v>吴凤英</v>
      </c>
      <c r="G511" s="9" t="str">
        <f t="shared" si="56"/>
        <v>女</v>
      </c>
      <c r="H511" s="8"/>
    </row>
    <row r="512" spans="1:8" ht="34.5" customHeight="1">
      <c r="A512" s="8">
        <v>509</v>
      </c>
      <c r="B512" s="9" t="str">
        <f>"65172024052708270278751"</f>
        <v>65172024052708270278751</v>
      </c>
      <c r="C512" s="9" t="s">
        <v>43</v>
      </c>
      <c r="D512" s="9" t="s">
        <v>33</v>
      </c>
      <c r="E512" s="9" t="str">
        <f t="shared" si="57"/>
        <v>240805</v>
      </c>
      <c r="F512" s="9" t="str">
        <f>"莫姜莹"</f>
        <v>莫姜莹</v>
      </c>
      <c r="G512" s="9" t="str">
        <f t="shared" si="56"/>
        <v>女</v>
      </c>
      <c r="H512" s="8"/>
    </row>
    <row r="513" spans="1:8" ht="34.5" customHeight="1">
      <c r="A513" s="8">
        <v>510</v>
      </c>
      <c r="B513" s="9" t="str">
        <f>"651720240601093226109561"</f>
        <v>651720240601093226109561</v>
      </c>
      <c r="C513" s="9" t="s">
        <v>43</v>
      </c>
      <c r="D513" s="9" t="s">
        <v>33</v>
      </c>
      <c r="E513" s="9" t="str">
        <f t="shared" si="57"/>
        <v>240805</v>
      </c>
      <c r="F513" s="9" t="str">
        <f>"莫冬兰"</f>
        <v>莫冬兰</v>
      </c>
      <c r="G513" s="9" t="str">
        <f t="shared" si="56"/>
        <v>女</v>
      </c>
      <c r="H513" s="8"/>
    </row>
    <row r="514" spans="1:8" ht="34.5" customHeight="1">
      <c r="A514" s="8">
        <v>511</v>
      </c>
      <c r="B514" s="9" t="str">
        <f>"651720240603115836120638"</f>
        <v>651720240603115836120638</v>
      </c>
      <c r="C514" s="9" t="s">
        <v>43</v>
      </c>
      <c r="D514" s="9" t="s">
        <v>33</v>
      </c>
      <c r="E514" s="9" t="str">
        <f t="shared" si="57"/>
        <v>240805</v>
      </c>
      <c r="F514" s="9" t="str">
        <f>"张元馨"</f>
        <v>张元馨</v>
      </c>
      <c r="G514" s="9" t="str">
        <f t="shared" si="56"/>
        <v>女</v>
      </c>
      <c r="H514" s="8"/>
    </row>
    <row r="515" spans="1:8" ht="34.5" customHeight="1">
      <c r="A515" s="8">
        <v>512</v>
      </c>
      <c r="B515" s="9" t="str">
        <f>"65172024052416170675520"</f>
        <v>65172024052416170675520</v>
      </c>
      <c r="C515" s="9" t="s">
        <v>44</v>
      </c>
      <c r="D515" s="9" t="s">
        <v>39</v>
      </c>
      <c r="E515" s="9" t="str">
        <f aca="true" t="shared" si="58" ref="E515:E526">"240901"</f>
        <v>240901</v>
      </c>
      <c r="F515" s="9" t="str">
        <f>"王芷灵"</f>
        <v>王芷灵</v>
      </c>
      <c r="G515" s="9" t="str">
        <f t="shared" si="56"/>
        <v>女</v>
      </c>
      <c r="H515" s="8"/>
    </row>
    <row r="516" spans="1:8" ht="34.5" customHeight="1">
      <c r="A516" s="8">
        <v>513</v>
      </c>
      <c r="B516" s="9" t="str">
        <f>"65172024052418054675816"</f>
        <v>65172024052418054675816</v>
      </c>
      <c r="C516" s="9" t="s">
        <v>44</v>
      </c>
      <c r="D516" s="9" t="s">
        <v>39</v>
      </c>
      <c r="E516" s="9" t="str">
        <f t="shared" si="58"/>
        <v>240901</v>
      </c>
      <c r="F516" s="9" t="str">
        <f>"孙玉娟"</f>
        <v>孙玉娟</v>
      </c>
      <c r="G516" s="9" t="str">
        <f t="shared" si="56"/>
        <v>女</v>
      </c>
      <c r="H516" s="8"/>
    </row>
    <row r="517" spans="1:8" ht="34.5" customHeight="1">
      <c r="A517" s="8">
        <v>514</v>
      </c>
      <c r="B517" s="9" t="str">
        <f>"65172024052420195875971"</f>
        <v>65172024052420195875971</v>
      </c>
      <c r="C517" s="9" t="s">
        <v>44</v>
      </c>
      <c r="D517" s="9" t="s">
        <v>39</v>
      </c>
      <c r="E517" s="9" t="str">
        <f t="shared" si="58"/>
        <v>240901</v>
      </c>
      <c r="F517" s="9" t="str">
        <f>"叶雪芳"</f>
        <v>叶雪芳</v>
      </c>
      <c r="G517" s="9" t="str">
        <f t="shared" si="56"/>
        <v>女</v>
      </c>
      <c r="H517" s="8"/>
    </row>
    <row r="518" spans="1:8" ht="34.5" customHeight="1">
      <c r="A518" s="8">
        <v>515</v>
      </c>
      <c r="B518" s="9" t="str">
        <f>"65172024052711371980219"</f>
        <v>65172024052711371980219</v>
      </c>
      <c r="C518" s="9" t="s">
        <v>44</v>
      </c>
      <c r="D518" s="9" t="s">
        <v>39</v>
      </c>
      <c r="E518" s="9" t="str">
        <f t="shared" si="58"/>
        <v>240901</v>
      </c>
      <c r="F518" s="9" t="str">
        <f>"岑晓"</f>
        <v>岑晓</v>
      </c>
      <c r="G518" s="9" t="str">
        <f t="shared" si="56"/>
        <v>女</v>
      </c>
      <c r="H518" s="8"/>
    </row>
    <row r="519" spans="1:8" ht="34.5" customHeight="1">
      <c r="A519" s="8">
        <v>516</v>
      </c>
      <c r="B519" s="9" t="str">
        <f>"65172024052415331275350"</f>
        <v>65172024052415331275350</v>
      </c>
      <c r="C519" s="9" t="s">
        <v>44</v>
      </c>
      <c r="D519" s="9" t="s">
        <v>39</v>
      </c>
      <c r="E519" s="9" t="str">
        <f t="shared" si="58"/>
        <v>240901</v>
      </c>
      <c r="F519" s="9" t="str">
        <f>"刘致君"</f>
        <v>刘致君</v>
      </c>
      <c r="G519" s="9" t="str">
        <f>"男"</f>
        <v>男</v>
      </c>
      <c r="H519" s="8"/>
    </row>
    <row r="520" spans="1:8" ht="34.5" customHeight="1">
      <c r="A520" s="8">
        <v>517</v>
      </c>
      <c r="B520" s="9" t="str">
        <f>"65172024052614123277784"</f>
        <v>65172024052614123277784</v>
      </c>
      <c r="C520" s="9" t="s">
        <v>44</v>
      </c>
      <c r="D520" s="9" t="s">
        <v>39</v>
      </c>
      <c r="E520" s="9" t="str">
        <f t="shared" si="58"/>
        <v>240901</v>
      </c>
      <c r="F520" s="9" t="str">
        <f>"卓欣"</f>
        <v>卓欣</v>
      </c>
      <c r="G520" s="9" t="str">
        <f aca="true" t="shared" si="59" ref="G520:G531">"女"</f>
        <v>女</v>
      </c>
      <c r="H520" s="8"/>
    </row>
    <row r="521" spans="1:8" ht="34.5" customHeight="1">
      <c r="A521" s="8">
        <v>518</v>
      </c>
      <c r="B521" s="9" t="str">
        <f>"65172024052521032277091"</f>
        <v>65172024052521032277091</v>
      </c>
      <c r="C521" s="9" t="s">
        <v>44</v>
      </c>
      <c r="D521" s="9" t="s">
        <v>39</v>
      </c>
      <c r="E521" s="9" t="str">
        <f t="shared" si="58"/>
        <v>240901</v>
      </c>
      <c r="F521" s="9" t="str">
        <f>"柯行苗"</f>
        <v>柯行苗</v>
      </c>
      <c r="G521" s="9" t="str">
        <f t="shared" si="59"/>
        <v>女</v>
      </c>
      <c r="H521" s="8"/>
    </row>
    <row r="522" spans="1:8" ht="34.5" customHeight="1">
      <c r="A522" s="8">
        <v>519</v>
      </c>
      <c r="B522" s="9" t="str">
        <f>"65172024053023000299607"</f>
        <v>65172024053023000299607</v>
      </c>
      <c r="C522" s="9" t="s">
        <v>44</v>
      </c>
      <c r="D522" s="9" t="s">
        <v>39</v>
      </c>
      <c r="E522" s="9" t="str">
        <f t="shared" si="58"/>
        <v>240901</v>
      </c>
      <c r="F522" s="9" t="str">
        <f>"王燕婷"</f>
        <v>王燕婷</v>
      </c>
      <c r="G522" s="9" t="str">
        <f t="shared" si="59"/>
        <v>女</v>
      </c>
      <c r="H522" s="8"/>
    </row>
    <row r="523" spans="1:8" ht="34.5" customHeight="1">
      <c r="A523" s="8">
        <v>520</v>
      </c>
      <c r="B523" s="9" t="str">
        <f>"651720240604104526127386"</f>
        <v>651720240604104526127386</v>
      </c>
      <c r="C523" s="9" t="s">
        <v>44</v>
      </c>
      <c r="D523" s="9" t="s">
        <v>39</v>
      </c>
      <c r="E523" s="9" t="str">
        <f t="shared" si="58"/>
        <v>240901</v>
      </c>
      <c r="F523" s="9" t="str">
        <f>"王琪琪"</f>
        <v>王琪琪</v>
      </c>
      <c r="G523" s="9" t="str">
        <f t="shared" si="59"/>
        <v>女</v>
      </c>
      <c r="H523" s="8"/>
    </row>
    <row r="524" spans="1:8" ht="34.5" customHeight="1">
      <c r="A524" s="8">
        <v>521</v>
      </c>
      <c r="B524" s="9" t="str">
        <f>"651720240604140246128840"</f>
        <v>651720240604140246128840</v>
      </c>
      <c r="C524" s="9" t="s">
        <v>44</v>
      </c>
      <c r="D524" s="9" t="s">
        <v>39</v>
      </c>
      <c r="E524" s="9" t="str">
        <f t="shared" si="58"/>
        <v>240901</v>
      </c>
      <c r="F524" s="9" t="str">
        <f>"符春庆"</f>
        <v>符春庆</v>
      </c>
      <c r="G524" s="9" t="str">
        <f t="shared" si="59"/>
        <v>女</v>
      </c>
      <c r="H524" s="8"/>
    </row>
    <row r="525" spans="1:8" ht="34.5" customHeight="1">
      <c r="A525" s="8">
        <v>522</v>
      </c>
      <c r="B525" s="9" t="str">
        <f>"651720240605125014136452"</f>
        <v>651720240605125014136452</v>
      </c>
      <c r="C525" s="9" t="s">
        <v>44</v>
      </c>
      <c r="D525" s="9" t="s">
        <v>39</v>
      </c>
      <c r="E525" s="9" t="str">
        <f t="shared" si="58"/>
        <v>240901</v>
      </c>
      <c r="F525" s="9" t="str">
        <f>"冯琼叶"</f>
        <v>冯琼叶</v>
      </c>
      <c r="G525" s="9" t="str">
        <f t="shared" si="59"/>
        <v>女</v>
      </c>
      <c r="H525" s="8"/>
    </row>
    <row r="526" spans="1:8" ht="34.5" customHeight="1">
      <c r="A526" s="8">
        <v>523</v>
      </c>
      <c r="B526" s="9" t="str">
        <f>"651720240605123721136387"</f>
        <v>651720240605123721136387</v>
      </c>
      <c r="C526" s="9" t="s">
        <v>44</v>
      </c>
      <c r="D526" s="9" t="s">
        <v>39</v>
      </c>
      <c r="E526" s="9" t="str">
        <f t="shared" si="58"/>
        <v>240901</v>
      </c>
      <c r="F526" s="9" t="str">
        <f>"杨金鹭"</f>
        <v>杨金鹭</v>
      </c>
      <c r="G526" s="9" t="str">
        <f t="shared" si="59"/>
        <v>女</v>
      </c>
      <c r="H526" s="8"/>
    </row>
    <row r="527" spans="1:8" ht="34.5" customHeight="1">
      <c r="A527" s="8">
        <v>524</v>
      </c>
      <c r="B527" s="9" t="str">
        <f>"65172024052413025474897"</f>
        <v>65172024052413025474897</v>
      </c>
      <c r="C527" s="9" t="s">
        <v>45</v>
      </c>
      <c r="D527" s="9" t="s">
        <v>40</v>
      </c>
      <c r="E527" s="9" t="str">
        <f>"241001"</f>
        <v>241001</v>
      </c>
      <c r="F527" s="9" t="str">
        <f>"邢妮雅"</f>
        <v>邢妮雅</v>
      </c>
      <c r="G527" s="9" t="str">
        <f t="shared" si="59"/>
        <v>女</v>
      </c>
      <c r="H527" s="8"/>
    </row>
    <row r="528" spans="1:8" ht="34.5" customHeight="1">
      <c r="A528" s="8">
        <v>525</v>
      </c>
      <c r="B528" s="9" t="str">
        <f>"65172024052700083378654"</f>
        <v>65172024052700083378654</v>
      </c>
      <c r="C528" s="9" t="s">
        <v>45</v>
      </c>
      <c r="D528" s="9" t="s">
        <v>46</v>
      </c>
      <c r="E528" s="9" t="str">
        <f aca="true" t="shared" si="60" ref="E528:E537">"241002"</f>
        <v>241002</v>
      </c>
      <c r="F528" s="9" t="str">
        <f>"王玉珍"</f>
        <v>王玉珍</v>
      </c>
      <c r="G528" s="9" t="str">
        <f t="shared" si="59"/>
        <v>女</v>
      </c>
      <c r="H528" s="8"/>
    </row>
    <row r="529" spans="1:8" ht="34.5" customHeight="1">
      <c r="A529" s="8">
        <v>526</v>
      </c>
      <c r="B529" s="9" t="str">
        <f>"65172024052714373480936"</f>
        <v>65172024052714373480936</v>
      </c>
      <c r="C529" s="9" t="s">
        <v>45</v>
      </c>
      <c r="D529" s="9" t="s">
        <v>46</v>
      </c>
      <c r="E529" s="9" t="str">
        <f t="shared" si="60"/>
        <v>241002</v>
      </c>
      <c r="F529" s="9" t="str">
        <f>"李金峰"</f>
        <v>李金峰</v>
      </c>
      <c r="G529" s="9" t="str">
        <f t="shared" si="59"/>
        <v>女</v>
      </c>
      <c r="H529" s="8"/>
    </row>
    <row r="530" spans="1:8" ht="34.5" customHeight="1">
      <c r="A530" s="8">
        <v>527</v>
      </c>
      <c r="B530" s="9" t="str">
        <f>"65172024052700293678667"</f>
        <v>65172024052700293678667</v>
      </c>
      <c r="C530" s="9" t="s">
        <v>45</v>
      </c>
      <c r="D530" s="9" t="s">
        <v>46</v>
      </c>
      <c r="E530" s="9" t="str">
        <f t="shared" si="60"/>
        <v>241002</v>
      </c>
      <c r="F530" s="9" t="str">
        <f>"吴惠"</f>
        <v>吴惠</v>
      </c>
      <c r="G530" s="9" t="str">
        <f t="shared" si="59"/>
        <v>女</v>
      </c>
      <c r="H530" s="8"/>
    </row>
    <row r="531" spans="1:8" ht="34.5" customHeight="1">
      <c r="A531" s="8">
        <v>528</v>
      </c>
      <c r="B531" s="9" t="str">
        <f>"65172024052719453982107"</f>
        <v>65172024052719453982107</v>
      </c>
      <c r="C531" s="9" t="s">
        <v>45</v>
      </c>
      <c r="D531" s="9" t="s">
        <v>46</v>
      </c>
      <c r="E531" s="9" t="str">
        <f t="shared" si="60"/>
        <v>241002</v>
      </c>
      <c r="F531" s="9" t="str">
        <f>"黄月婷"</f>
        <v>黄月婷</v>
      </c>
      <c r="G531" s="9" t="str">
        <f t="shared" si="59"/>
        <v>女</v>
      </c>
      <c r="H531" s="8"/>
    </row>
    <row r="532" spans="1:8" ht="34.5" customHeight="1">
      <c r="A532" s="8">
        <v>529</v>
      </c>
      <c r="B532" s="9" t="str">
        <f>"651720240531084710100245"</f>
        <v>651720240531084710100245</v>
      </c>
      <c r="C532" s="9" t="s">
        <v>45</v>
      </c>
      <c r="D532" s="9" t="s">
        <v>46</v>
      </c>
      <c r="E532" s="9" t="str">
        <f t="shared" si="60"/>
        <v>241002</v>
      </c>
      <c r="F532" s="9" t="str">
        <f>"莫泽磊"</f>
        <v>莫泽磊</v>
      </c>
      <c r="G532" s="9" t="str">
        <f>"男"</f>
        <v>男</v>
      </c>
      <c r="H532" s="8"/>
    </row>
    <row r="533" spans="1:8" ht="34.5" customHeight="1">
      <c r="A533" s="8">
        <v>530</v>
      </c>
      <c r="B533" s="9" t="str">
        <f>"65172024053012152094701"</f>
        <v>65172024053012152094701</v>
      </c>
      <c r="C533" s="9" t="s">
        <v>45</v>
      </c>
      <c r="D533" s="9" t="s">
        <v>46</v>
      </c>
      <c r="E533" s="9" t="str">
        <f t="shared" si="60"/>
        <v>241002</v>
      </c>
      <c r="F533" s="9" t="str">
        <f>"李香冰"</f>
        <v>李香冰</v>
      </c>
      <c r="G533" s="9" t="str">
        <f>"女"</f>
        <v>女</v>
      </c>
      <c r="H533" s="8"/>
    </row>
    <row r="534" spans="1:8" ht="34.5" customHeight="1">
      <c r="A534" s="8">
        <v>531</v>
      </c>
      <c r="B534" s="9" t="str">
        <f>"651720240603131616121402"</f>
        <v>651720240603131616121402</v>
      </c>
      <c r="C534" s="9" t="s">
        <v>45</v>
      </c>
      <c r="D534" s="9" t="s">
        <v>46</v>
      </c>
      <c r="E534" s="9" t="str">
        <f t="shared" si="60"/>
        <v>241002</v>
      </c>
      <c r="F534" s="9" t="str">
        <f>"唐飞杨"</f>
        <v>唐飞杨</v>
      </c>
      <c r="G534" s="9" t="str">
        <f>"男"</f>
        <v>男</v>
      </c>
      <c r="H534" s="8"/>
    </row>
    <row r="535" spans="1:8" ht="34.5" customHeight="1">
      <c r="A535" s="8">
        <v>532</v>
      </c>
      <c r="B535" s="9" t="str">
        <f>"65172024052411372074649"</f>
        <v>65172024052411372074649</v>
      </c>
      <c r="C535" s="9" t="s">
        <v>45</v>
      </c>
      <c r="D535" s="9" t="s">
        <v>46</v>
      </c>
      <c r="E535" s="9" t="str">
        <f t="shared" si="60"/>
        <v>241002</v>
      </c>
      <c r="F535" s="9" t="str">
        <f>"钟慧"</f>
        <v>钟慧</v>
      </c>
      <c r="G535" s="9" t="str">
        <f>"女"</f>
        <v>女</v>
      </c>
      <c r="H535" s="8"/>
    </row>
    <row r="536" spans="1:8" ht="34.5" customHeight="1">
      <c r="A536" s="8">
        <v>533</v>
      </c>
      <c r="B536" s="9" t="str">
        <f>"651720240604234701132505"</f>
        <v>651720240604234701132505</v>
      </c>
      <c r="C536" s="9" t="s">
        <v>45</v>
      </c>
      <c r="D536" s="9" t="s">
        <v>46</v>
      </c>
      <c r="E536" s="9" t="str">
        <f t="shared" si="60"/>
        <v>241002</v>
      </c>
      <c r="F536" s="9" t="str">
        <f>"陈艳萍"</f>
        <v>陈艳萍</v>
      </c>
      <c r="G536" s="9" t="str">
        <f>"女"</f>
        <v>女</v>
      </c>
      <c r="H536" s="8"/>
    </row>
    <row r="537" spans="1:8" ht="34.5" customHeight="1">
      <c r="A537" s="8">
        <v>534</v>
      </c>
      <c r="B537" s="9" t="str">
        <f>"651720240604171127130412"</f>
        <v>651720240604171127130412</v>
      </c>
      <c r="C537" s="9" t="s">
        <v>45</v>
      </c>
      <c r="D537" s="9" t="s">
        <v>46</v>
      </c>
      <c r="E537" s="9" t="str">
        <f t="shared" si="60"/>
        <v>241002</v>
      </c>
      <c r="F537" s="9" t="str">
        <f>"董惠婷"</f>
        <v>董惠婷</v>
      </c>
      <c r="G537" s="9" t="str">
        <f>"女"</f>
        <v>女</v>
      </c>
      <c r="H537" s="8"/>
    </row>
    <row r="538" spans="1:8" ht="34.5" customHeight="1">
      <c r="A538" s="8">
        <v>535</v>
      </c>
      <c r="B538" s="9" t="str">
        <f>"65172024052623334778624"</f>
        <v>65172024052623334778624</v>
      </c>
      <c r="C538" s="9" t="s">
        <v>47</v>
      </c>
      <c r="D538" s="9" t="s">
        <v>32</v>
      </c>
      <c r="E538" s="9" t="str">
        <f>"241101"</f>
        <v>241101</v>
      </c>
      <c r="F538" s="9" t="str">
        <f>"张美琳"</f>
        <v>张美琳</v>
      </c>
      <c r="G538" s="9" t="str">
        <f>"女"</f>
        <v>女</v>
      </c>
      <c r="H538" s="8"/>
    </row>
    <row r="539" spans="1:8" ht="34.5" customHeight="1">
      <c r="A539" s="8">
        <v>536</v>
      </c>
      <c r="B539" s="9" t="str">
        <f>"65172024052417271975748"</f>
        <v>65172024052417271975748</v>
      </c>
      <c r="C539" s="9" t="s">
        <v>47</v>
      </c>
      <c r="D539" s="9" t="s">
        <v>32</v>
      </c>
      <c r="E539" s="9" t="str">
        <f>"241101"</f>
        <v>241101</v>
      </c>
      <c r="F539" s="9" t="str">
        <f>"孙欣"</f>
        <v>孙欣</v>
      </c>
      <c r="G539" s="9" t="str">
        <f>"男"</f>
        <v>男</v>
      </c>
      <c r="H539" s="8"/>
    </row>
    <row r="540" spans="1:8" ht="34.5" customHeight="1">
      <c r="A540" s="8">
        <v>537</v>
      </c>
      <c r="B540" s="9" t="str">
        <f>"651720240604135333128784"</f>
        <v>651720240604135333128784</v>
      </c>
      <c r="C540" s="9" t="s">
        <v>47</v>
      </c>
      <c r="D540" s="9" t="s">
        <v>32</v>
      </c>
      <c r="E540" s="9" t="str">
        <f>"241101"</f>
        <v>241101</v>
      </c>
      <c r="F540" s="9" t="str">
        <f>"许兴霖"</f>
        <v>许兴霖</v>
      </c>
      <c r="G540" s="9" t="str">
        <f>"男"</f>
        <v>男</v>
      </c>
      <c r="H540" s="8"/>
    </row>
    <row r="541" spans="1:8" ht="34.5" customHeight="1">
      <c r="A541" s="8">
        <v>538</v>
      </c>
      <c r="B541" s="9" t="str">
        <f>"651720240604154025129631"</f>
        <v>651720240604154025129631</v>
      </c>
      <c r="C541" s="9" t="s">
        <v>47</v>
      </c>
      <c r="D541" s="9" t="s">
        <v>32</v>
      </c>
      <c r="E541" s="9" t="str">
        <f>"241101"</f>
        <v>241101</v>
      </c>
      <c r="F541" s="9" t="str">
        <f>"蔡璟"</f>
        <v>蔡璟</v>
      </c>
      <c r="G541" s="9" t="str">
        <f>"女"</f>
        <v>女</v>
      </c>
      <c r="H541" s="8"/>
    </row>
    <row r="542" spans="1:8" ht="34.5" customHeight="1">
      <c r="A542" s="8">
        <v>539</v>
      </c>
      <c r="B542" s="9" t="str">
        <f>"651720240602203124116207"</f>
        <v>651720240602203124116207</v>
      </c>
      <c r="C542" s="9" t="s">
        <v>47</v>
      </c>
      <c r="D542" s="9" t="s">
        <v>32</v>
      </c>
      <c r="E542" s="9" t="str">
        <f>"241101"</f>
        <v>241101</v>
      </c>
      <c r="F542" s="9" t="str">
        <f>"钟承纯"</f>
        <v>钟承纯</v>
      </c>
      <c r="G542" s="9" t="str">
        <f>"男"</f>
        <v>男</v>
      </c>
      <c r="H542" s="8"/>
    </row>
    <row r="543" spans="1:8" ht="34.5" customHeight="1">
      <c r="A543" s="8">
        <v>540</v>
      </c>
      <c r="B543" s="9" t="str">
        <f>"65172024052521554477157"</f>
        <v>65172024052521554477157</v>
      </c>
      <c r="C543" s="9" t="s">
        <v>47</v>
      </c>
      <c r="D543" s="9" t="s">
        <v>40</v>
      </c>
      <c r="E543" s="9" t="str">
        <f>"241102"</f>
        <v>241102</v>
      </c>
      <c r="F543" s="9" t="str">
        <f>"洪颖"</f>
        <v>洪颖</v>
      </c>
      <c r="G543" s="9" t="str">
        <f>"女"</f>
        <v>女</v>
      </c>
      <c r="H543" s="8"/>
    </row>
    <row r="544" spans="1:8" ht="34.5" customHeight="1">
      <c r="A544" s="8">
        <v>541</v>
      </c>
      <c r="B544" s="9" t="str">
        <f>"651720240604155645129814"</f>
        <v>651720240604155645129814</v>
      </c>
      <c r="C544" s="9" t="s">
        <v>47</v>
      </c>
      <c r="D544" s="9" t="s">
        <v>48</v>
      </c>
      <c r="E544" s="9" t="str">
        <f>"241103"</f>
        <v>241103</v>
      </c>
      <c r="F544" s="9" t="str">
        <f>"羊学州"</f>
        <v>羊学州</v>
      </c>
      <c r="G544" s="9" t="str">
        <f>"男"</f>
        <v>男</v>
      </c>
      <c r="H544" s="8"/>
    </row>
    <row r="545" spans="1:8" ht="34.5" customHeight="1">
      <c r="A545" s="8">
        <v>542</v>
      </c>
      <c r="B545" s="9" t="str">
        <f>"651720240605225029141307"</f>
        <v>651720240605225029141307</v>
      </c>
      <c r="C545" s="9" t="s">
        <v>47</v>
      </c>
      <c r="D545" s="9" t="s">
        <v>48</v>
      </c>
      <c r="E545" s="9" t="str">
        <f>"241103"</f>
        <v>241103</v>
      </c>
      <c r="F545" s="9" t="str">
        <f>"许妍桃"</f>
        <v>许妍桃</v>
      </c>
      <c r="G545" s="9" t="str">
        <f aca="true" t="shared" si="61" ref="G545:G552">"女"</f>
        <v>女</v>
      </c>
      <c r="H545" s="8"/>
    </row>
    <row r="546" spans="1:8" ht="34.5" customHeight="1">
      <c r="A546" s="8">
        <v>543</v>
      </c>
      <c r="B546" s="9" t="str">
        <f>"65172024052416425575619"</f>
        <v>65172024052416425575619</v>
      </c>
      <c r="C546" s="9" t="s">
        <v>47</v>
      </c>
      <c r="D546" s="9" t="s">
        <v>33</v>
      </c>
      <c r="E546" s="9" t="str">
        <f>"241104"</f>
        <v>241104</v>
      </c>
      <c r="F546" s="9" t="str">
        <f>"纪顺师"</f>
        <v>纪顺师</v>
      </c>
      <c r="G546" s="9" t="str">
        <f t="shared" si="61"/>
        <v>女</v>
      </c>
      <c r="H546" s="8"/>
    </row>
    <row r="547" spans="1:8" ht="34.5" customHeight="1">
      <c r="A547" s="8">
        <v>544</v>
      </c>
      <c r="B547" s="9" t="str">
        <f>"65172024052909493786577"</f>
        <v>65172024052909493786577</v>
      </c>
      <c r="C547" s="9" t="s">
        <v>47</v>
      </c>
      <c r="D547" s="9" t="s">
        <v>33</v>
      </c>
      <c r="E547" s="9" t="str">
        <f>"241104"</f>
        <v>241104</v>
      </c>
      <c r="F547" s="9" t="str">
        <f>"黄丽娜"</f>
        <v>黄丽娜</v>
      </c>
      <c r="G547" s="9" t="str">
        <f t="shared" si="61"/>
        <v>女</v>
      </c>
      <c r="H547" s="8"/>
    </row>
    <row r="548" spans="1:8" ht="34.5" customHeight="1">
      <c r="A548" s="8">
        <v>545</v>
      </c>
      <c r="B548" s="9" t="str">
        <f>"651720240531094607100758"</f>
        <v>651720240531094607100758</v>
      </c>
      <c r="C548" s="9" t="s">
        <v>47</v>
      </c>
      <c r="D548" s="9" t="s">
        <v>33</v>
      </c>
      <c r="E548" s="9" t="str">
        <f>"241104"</f>
        <v>241104</v>
      </c>
      <c r="F548" s="9" t="str">
        <f>"杨雨婷"</f>
        <v>杨雨婷</v>
      </c>
      <c r="G548" s="9" t="str">
        <f t="shared" si="61"/>
        <v>女</v>
      </c>
      <c r="H548" s="8"/>
    </row>
    <row r="549" spans="1:8" ht="34.5" customHeight="1">
      <c r="A549" s="8">
        <v>546</v>
      </c>
      <c r="B549" s="9" t="str">
        <f>"651720240603113335120388"</f>
        <v>651720240603113335120388</v>
      </c>
      <c r="C549" s="9" t="s">
        <v>47</v>
      </c>
      <c r="D549" s="9" t="s">
        <v>33</v>
      </c>
      <c r="E549" s="9" t="str">
        <f>"241104"</f>
        <v>241104</v>
      </c>
      <c r="F549" s="9" t="str">
        <f>"潘秋颖"</f>
        <v>潘秋颖</v>
      </c>
      <c r="G549" s="9" t="str">
        <f t="shared" si="61"/>
        <v>女</v>
      </c>
      <c r="H549" s="8"/>
    </row>
    <row r="550" spans="1:8" ht="34.5" customHeight="1">
      <c r="A550" s="8">
        <v>547</v>
      </c>
      <c r="B550" s="9" t="str">
        <f>"65172024052521384177135"</f>
        <v>65172024052521384177135</v>
      </c>
      <c r="C550" s="9" t="s">
        <v>49</v>
      </c>
      <c r="D550" s="9" t="s">
        <v>39</v>
      </c>
      <c r="E550" s="9" t="str">
        <f>"241201"</f>
        <v>241201</v>
      </c>
      <c r="F550" s="9" t="str">
        <f>"陈莹莹"</f>
        <v>陈莹莹</v>
      </c>
      <c r="G550" s="9" t="str">
        <f t="shared" si="61"/>
        <v>女</v>
      </c>
      <c r="H550" s="8"/>
    </row>
    <row r="551" spans="1:8" ht="34.5" customHeight="1">
      <c r="A551" s="8">
        <v>548</v>
      </c>
      <c r="B551" s="9" t="str">
        <f>"651720240603160949123372"</f>
        <v>651720240603160949123372</v>
      </c>
      <c r="C551" s="9" t="s">
        <v>49</v>
      </c>
      <c r="D551" s="9" t="s">
        <v>39</v>
      </c>
      <c r="E551" s="9" t="str">
        <f>"241201"</f>
        <v>241201</v>
      </c>
      <c r="F551" s="9" t="str">
        <f>"黄春满"</f>
        <v>黄春满</v>
      </c>
      <c r="G551" s="9" t="str">
        <f t="shared" si="61"/>
        <v>女</v>
      </c>
      <c r="H551" s="8"/>
    </row>
    <row r="552" spans="1:8" ht="34.5" customHeight="1">
      <c r="A552" s="8">
        <v>549</v>
      </c>
      <c r="B552" s="9" t="str">
        <f>"651720240604152803129506"</f>
        <v>651720240604152803129506</v>
      </c>
      <c r="C552" s="9" t="s">
        <v>49</v>
      </c>
      <c r="D552" s="9" t="s">
        <v>39</v>
      </c>
      <c r="E552" s="9" t="str">
        <f>"241201"</f>
        <v>241201</v>
      </c>
      <c r="F552" s="9" t="str">
        <f>"叶婷"</f>
        <v>叶婷</v>
      </c>
      <c r="G552" s="9" t="str">
        <f t="shared" si="61"/>
        <v>女</v>
      </c>
      <c r="H552" s="8"/>
    </row>
    <row r="553" spans="1:8" ht="34.5" customHeight="1">
      <c r="A553" s="8">
        <v>550</v>
      </c>
      <c r="B553" s="9" t="str">
        <f>"65172024052519391377004"</f>
        <v>65172024052519391377004</v>
      </c>
      <c r="C553" s="9" t="s">
        <v>49</v>
      </c>
      <c r="D553" s="9" t="s">
        <v>36</v>
      </c>
      <c r="E553" s="9" t="str">
        <f aca="true" t="shared" si="62" ref="E553:E561">"241202"</f>
        <v>241202</v>
      </c>
      <c r="F553" s="9" t="str">
        <f>"李天龙"</f>
        <v>李天龙</v>
      </c>
      <c r="G553" s="9" t="str">
        <f>"男"</f>
        <v>男</v>
      </c>
      <c r="H553" s="8"/>
    </row>
    <row r="554" spans="1:8" ht="34.5" customHeight="1">
      <c r="A554" s="8">
        <v>551</v>
      </c>
      <c r="B554" s="9" t="str">
        <f>"65172024052623350578625"</f>
        <v>65172024052623350578625</v>
      </c>
      <c r="C554" s="9" t="s">
        <v>49</v>
      </c>
      <c r="D554" s="9" t="s">
        <v>36</v>
      </c>
      <c r="E554" s="9" t="str">
        <f t="shared" si="62"/>
        <v>241202</v>
      </c>
      <c r="F554" s="9" t="str">
        <f>"刘万芳"</f>
        <v>刘万芳</v>
      </c>
      <c r="G554" s="9" t="str">
        <f>"女"</f>
        <v>女</v>
      </c>
      <c r="H554" s="8"/>
    </row>
    <row r="555" spans="1:8" ht="34.5" customHeight="1">
      <c r="A555" s="8">
        <v>552</v>
      </c>
      <c r="B555" s="9" t="str">
        <f>"65172024052521133677102"</f>
        <v>65172024052521133677102</v>
      </c>
      <c r="C555" s="9" t="s">
        <v>49</v>
      </c>
      <c r="D555" s="9" t="s">
        <v>36</v>
      </c>
      <c r="E555" s="9" t="str">
        <f t="shared" si="62"/>
        <v>241202</v>
      </c>
      <c r="F555" s="9" t="str">
        <f>"秦浩洋"</f>
        <v>秦浩洋</v>
      </c>
      <c r="G555" s="9" t="str">
        <f>"男"</f>
        <v>男</v>
      </c>
      <c r="H555" s="8"/>
    </row>
    <row r="556" spans="1:8" ht="34.5" customHeight="1">
      <c r="A556" s="8">
        <v>553</v>
      </c>
      <c r="B556" s="9" t="str">
        <f>"65172024052916103288395"</f>
        <v>65172024052916103288395</v>
      </c>
      <c r="C556" s="9" t="s">
        <v>49</v>
      </c>
      <c r="D556" s="9" t="s">
        <v>36</v>
      </c>
      <c r="E556" s="9" t="str">
        <f t="shared" si="62"/>
        <v>241202</v>
      </c>
      <c r="F556" s="9" t="str">
        <f>"宋春娇"</f>
        <v>宋春娇</v>
      </c>
      <c r="G556" s="9" t="str">
        <f aca="true" t="shared" si="63" ref="G556:G570">"女"</f>
        <v>女</v>
      </c>
      <c r="H556" s="8"/>
    </row>
    <row r="557" spans="1:8" ht="34.5" customHeight="1">
      <c r="A557" s="8">
        <v>554</v>
      </c>
      <c r="B557" s="9" t="str">
        <f>"65172024052923311791405"</f>
        <v>65172024052923311791405</v>
      </c>
      <c r="C557" s="9" t="s">
        <v>49</v>
      </c>
      <c r="D557" s="9" t="s">
        <v>36</v>
      </c>
      <c r="E557" s="9" t="str">
        <f t="shared" si="62"/>
        <v>241202</v>
      </c>
      <c r="F557" s="9" t="str">
        <f>"陈缘缘"</f>
        <v>陈缘缘</v>
      </c>
      <c r="G557" s="9" t="str">
        <f t="shared" si="63"/>
        <v>女</v>
      </c>
      <c r="H557" s="8"/>
    </row>
    <row r="558" spans="1:8" ht="34.5" customHeight="1">
      <c r="A558" s="8">
        <v>555</v>
      </c>
      <c r="B558" s="9" t="str">
        <f>"651720240603125357121182"</f>
        <v>651720240603125357121182</v>
      </c>
      <c r="C558" s="9" t="s">
        <v>49</v>
      </c>
      <c r="D558" s="9" t="s">
        <v>36</v>
      </c>
      <c r="E558" s="9" t="str">
        <f t="shared" si="62"/>
        <v>241202</v>
      </c>
      <c r="F558" s="9" t="str">
        <f>"陈雨馨"</f>
        <v>陈雨馨</v>
      </c>
      <c r="G558" s="9" t="str">
        <f t="shared" si="63"/>
        <v>女</v>
      </c>
      <c r="H558" s="8"/>
    </row>
    <row r="559" spans="1:8" ht="34.5" customHeight="1">
      <c r="A559" s="8">
        <v>556</v>
      </c>
      <c r="B559" s="9" t="str">
        <f>"651720240604131550128588"</f>
        <v>651720240604131550128588</v>
      </c>
      <c r="C559" s="9" t="s">
        <v>49</v>
      </c>
      <c r="D559" s="9" t="s">
        <v>36</v>
      </c>
      <c r="E559" s="9" t="str">
        <f t="shared" si="62"/>
        <v>241202</v>
      </c>
      <c r="F559" s="9" t="str">
        <f>"高善冬"</f>
        <v>高善冬</v>
      </c>
      <c r="G559" s="9" t="str">
        <f t="shared" si="63"/>
        <v>女</v>
      </c>
      <c r="H559" s="8"/>
    </row>
    <row r="560" spans="1:8" ht="34.5" customHeight="1">
      <c r="A560" s="8">
        <v>557</v>
      </c>
      <c r="B560" s="9" t="str">
        <f>"651720240604223238132203"</f>
        <v>651720240604223238132203</v>
      </c>
      <c r="C560" s="9" t="s">
        <v>49</v>
      </c>
      <c r="D560" s="9" t="s">
        <v>36</v>
      </c>
      <c r="E560" s="9" t="str">
        <f t="shared" si="62"/>
        <v>241202</v>
      </c>
      <c r="F560" s="9" t="str">
        <f>"韦传葳"</f>
        <v>韦传葳</v>
      </c>
      <c r="G560" s="9" t="str">
        <f t="shared" si="63"/>
        <v>女</v>
      </c>
      <c r="H560" s="8"/>
    </row>
    <row r="561" spans="1:8" ht="34.5" customHeight="1">
      <c r="A561" s="8">
        <v>558</v>
      </c>
      <c r="B561" s="9" t="str">
        <f>"651720240604154143129645"</f>
        <v>651720240604154143129645</v>
      </c>
      <c r="C561" s="9" t="s">
        <v>49</v>
      </c>
      <c r="D561" s="9" t="s">
        <v>36</v>
      </c>
      <c r="E561" s="9" t="str">
        <f t="shared" si="62"/>
        <v>241202</v>
      </c>
      <c r="F561" s="9" t="str">
        <f>"陈欣欣"</f>
        <v>陈欣欣</v>
      </c>
      <c r="G561" s="9" t="str">
        <f t="shared" si="63"/>
        <v>女</v>
      </c>
      <c r="H561" s="8"/>
    </row>
    <row r="562" spans="1:8" ht="34.5" customHeight="1">
      <c r="A562" s="8">
        <v>559</v>
      </c>
      <c r="B562" s="9" t="str">
        <f>"651720240531155816106644"</f>
        <v>651720240531155816106644</v>
      </c>
      <c r="C562" s="9" t="s">
        <v>49</v>
      </c>
      <c r="D562" s="9" t="s">
        <v>40</v>
      </c>
      <c r="E562" s="9" t="str">
        <f>"241203"</f>
        <v>241203</v>
      </c>
      <c r="F562" s="9" t="str">
        <f>"冼小蕾"</f>
        <v>冼小蕾</v>
      </c>
      <c r="G562" s="9" t="str">
        <f t="shared" si="63"/>
        <v>女</v>
      </c>
      <c r="H562" s="8"/>
    </row>
    <row r="563" spans="1:8" ht="34.5" customHeight="1">
      <c r="A563" s="8">
        <v>560</v>
      </c>
      <c r="B563" s="9" t="str">
        <f>"65172024052413451374999"</f>
        <v>65172024052413451374999</v>
      </c>
      <c r="C563" s="9" t="s">
        <v>49</v>
      </c>
      <c r="D563" s="9" t="s">
        <v>46</v>
      </c>
      <c r="E563" s="9" t="str">
        <f aca="true" t="shared" si="64" ref="E563:E574">"241204"</f>
        <v>241204</v>
      </c>
      <c r="F563" s="9" t="str">
        <f>"韦荣慧"</f>
        <v>韦荣慧</v>
      </c>
      <c r="G563" s="9" t="str">
        <f t="shared" si="63"/>
        <v>女</v>
      </c>
      <c r="H563" s="8"/>
    </row>
    <row r="564" spans="1:8" ht="34.5" customHeight="1">
      <c r="A564" s="8">
        <v>561</v>
      </c>
      <c r="B564" s="9" t="str">
        <f>"65172024052421561976080"</f>
        <v>65172024052421561976080</v>
      </c>
      <c r="C564" s="9" t="s">
        <v>49</v>
      </c>
      <c r="D564" s="9" t="s">
        <v>46</v>
      </c>
      <c r="E564" s="9" t="str">
        <f t="shared" si="64"/>
        <v>241204</v>
      </c>
      <c r="F564" s="9" t="str">
        <f>"陈校米"</f>
        <v>陈校米</v>
      </c>
      <c r="G564" s="9" t="str">
        <f t="shared" si="63"/>
        <v>女</v>
      </c>
      <c r="H564" s="8"/>
    </row>
    <row r="565" spans="1:8" ht="34.5" customHeight="1">
      <c r="A565" s="8">
        <v>562</v>
      </c>
      <c r="B565" s="9" t="str">
        <f>"65172024052520435077064"</f>
        <v>65172024052520435077064</v>
      </c>
      <c r="C565" s="9" t="s">
        <v>49</v>
      </c>
      <c r="D565" s="9" t="s">
        <v>46</v>
      </c>
      <c r="E565" s="9" t="str">
        <f t="shared" si="64"/>
        <v>241204</v>
      </c>
      <c r="F565" s="9" t="str">
        <f>"蔡萱"</f>
        <v>蔡萱</v>
      </c>
      <c r="G565" s="9" t="str">
        <f t="shared" si="63"/>
        <v>女</v>
      </c>
      <c r="H565" s="8"/>
    </row>
    <row r="566" spans="1:8" ht="34.5" customHeight="1">
      <c r="A566" s="8">
        <v>563</v>
      </c>
      <c r="B566" s="9" t="str">
        <f>"65172024052914574487958"</f>
        <v>65172024052914574487958</v>
      </c>
      <c r="C566" s="9" t="s">
        <v>49</v>
      </c>
      <c r="D566" s="9" t="s">
        <v>46</v>
      </c>
      <c r="E566" s="9" t="str">
        <f t="shared" si="64"/>
        <v>241204</v>
      </c>
      <c r="F566" s="9" t="str">
        <f>"段炳弘"</f>
        <v>段炳弘</v>
      </c>
      <c r="G566" s="9" t="str">
        <f t="shared" si="63"/>
        <v>女</v>
      </c>
      <c r="H566" s="8"/>
    </row>
    <row r="567" spans="1:8" ht="34.5" customHeight="1">
      <c r="A567" s="8">
        <v>564</v>
      </c>
      <c r="B567" s="9" t="str">
        <f>"65172024053015353396370"</f>
        <v>65172024053015353396370</v>
      </c>
      <c r="C567" s="9" t="s">
        <v>49</v>
      </c>
      <c r="D567" s="9" t="s">
        <v>46</v>
      </c>
      <c r="E567" s="9" t="str">
        <f t="shared" si="64"/>
        <v>241204</v>
      </c>
      <c r="F567" s="9" t="str">
        <f>"吴春萍"</f>
        <v>吴春萍</v>
      </c>
      <c r="G567" s="9" t="str">
        <f t="shared" si="63"/>
        <v>女</v>
      </c>
      <c r="H567" s="8"/>
    </row>
    <row r="568" spans="1:8" ht="34.5" customHeight="1">
      <c r="A568" s="8">
        <v>565</v>
      </c>
      <c r="B568" s="9" t="str">
        <f>"651720240602184259115703"</f>
        <v>651720240602184259115703</v>
      </c>
      <c r="C568" s="9" t="s">
        <v>49</v>
      </c>
      <c r="D568" s="9" t="s">
        <v>46</v>
      </c>
      <c r="E568" s="9" t="str">
        <f t="shared" si="64"/>
        <v>241204</v>
      </c>
      <c r="F568" s="9" t="str">
        <f>"王丹妮"</f>
        <v>王丹妮</v>
      </c>
      <c r="G568" s="9" t="str">
        <f t="shared" si="63"/>
        <v>女</v>
      </c>
      <c r="H568" s="8"/>
    </row>
    <row r="569" spans="1:8" ht="34.5" customHeight="1">
      <c r="A569" s="8">
        <v>566</v>
      </c>
      <c r="B569" s="9" t="str">
        <f>"651720240602175518115492"</f>
        <v>651720240602175518115492</v>
      </c>
      <c r="C569" s="9" t="s">
        <v>49</v>
      </c>
      <c r="D569" s="9" t="s">
        <v>46</v>
      </c>
      <c r="E569" s="9" t="str">
        <f t="shared" si="64"/>
        <v>241204</v>
      </c>
      <c r="F569" s="9" t="str">
        <f>"韩少婉"</f>
        <v>韩少婉</v>
      </c>
      <c r="G569" s="9" t="str">
        <f t="shared" si="63"/>
        <v>女</v>
      </c>
      <c r="H569" s="8"/>
    </row>
    <row r="570" spans="1:8" ht="34.5" customHeight="1">
      <c r="A570" s="8">
        <v>567</v>
      </c>
      <c r="B570" s="9" t="str">
        <f>"65172024052706340678716"</f>
        <v>65172024052706340678716</v>
      </c>
      <c r="C570" s="9" t="s">
        <v>49</v>
      </c>
      <c r="D570" s="9" t="s">
        <v>46</v>
      </c>
      <c r="E570" s="9" t="str">
        <f t="shared" si="64"/>
        <v>241204</v>
      </c>
      <c r="F570" s="9" t="str">
        <f>"唐艳阳"</f>
        <v>唐艳阳</v>
      </c>
      <c r="G570" s="9" t="str">
        <f t="shared" si="63"/>
        <v>女</v>
      </c>
      <c r="H570" s="8"/>
    </row>
    <row r="571" spans="1:8" ht="34.5" customHeight="1">
      <c r="A571" s="8">
        <v>568</v>
      </c>
      <c r="B571" s="9" t="str">
        <f>"651720240601195140111901"</f>
        <v>651720240601195140111901</v>
      </c>
      <c r="C571" s="9" t="s">
        <v>49</v>
      </c>
      <c r="D571" s="9" t="s">
        <v>46</v>
      </c>
      <c r="E571" s="9" t="str">
        <f t="shared" si="64"/>
        <v>241204</v>
      </c>
      <c r="F571" s="9" t="str">
        <f>"张君虞"</f>
        <v>张君虞</v>
      </c>
      <c r="G571" s="9" t="str">
        <f>"男"</f>
        <v>男</v>
      </c>
      <c r="H571" s="8"/>
    </row>
    <row r="572" spans="1:8" ht="34.5" customHeight="1">
      <c r="A572" s="8">
        <v>569</v>
      </c>
      <c r="B572" s="9" t="str">
        <f>"651720240603233048125776"</f>
        <v>651720240603233048125776</v>
      </c>
      <c r="C572" s="9" t="s">
        <v>49</v>
      </c>
      <c r="D572" s="9" t="s">
        <v>46</v>
      </c>
      <c r="E572" s="9" t="str">
        <f t="shared" si="64"/>
        <v>241204</v>
      </c>
      <c r="F572" s="9" t="str">
        <f>"林燕琼"</f>
        <v>林燕琼</v>
      </c>
      <c r="G572" s="9" t="str">
        <f>"女"</f>
        <v>女</v>
      </c>
      <c r="H572" s="8"/>
    </row>
    <row r="573" spans="1:8" ht="34.5" customHeight="1">
      <c r="A573" s="8">
        <v>570</v>
      </c>
      <c r="B573" s="9" t="str">
        <f>"651720240601205416112126"</f>
        <v>651720240601205416112126</v>
      </c>
      <c r="C573" s="9" t="s">
        <v>49</v>
      </c>
      <c r="D573" s="9" t="s">
        <v>46</v>
      </c>
      <c r="E573" s="9" t="str">
        <f t="shared" si="64"/>
        <v>241204</v>
      </c>
      <c r="F573" s="9" t="str">
        <f>"陈良芳"</f>
        <v>陈良芳</v>
      </c>
      <c r="G573" s="9" t="str">
        <f>"女"</f>
        <v>女</v>
      </c>
      <c r="H573" s="8"/>
    </row>
    <row r="574" spans="1:8" ht="34.5" customHeight="1">
      <c r="A574" s="8">
        <v>571</v>
      </c>
      <c r="B574" s="9" t="str">
        <f>"65172024052712001780346"</f>
        <v>65172024052712001780346</v>
      </c>
      <c r="C574" s="9" t="s">
        <v>49</v>
      </c>
      <c r="D574" s="9" t="s">
        <v>46</v>
      </c>
      <c r="E574" s="9" t="str">
        <f t="shared" si="64"/>
        <v>241204</v>
      </c>
      <c r="F574" s="9" t="str">
        <f>"饶春玲"</f>
        <v>饶春玲</v>
      </c>
      <c r="G574" s="9" t="str">
        <f>"女"</f>
        <v>女</v>
      </c>
      <c r="H574" s="8"/>
    </row>
    <row r="575" spans="1:8" ht="34.5" customHeight="1">
      <c r="A575" s="8">
        <v>572</v>
      </c>
      <c r="B575" s="9" t="str">
        <f>"651720240604131928128613"</f>
        <v>651720240604131928128613</v>
      </c>
      <c r="C575" s="9" t="s">
        <v>50</v>
      </c>
      <c r="D575" s="9" t="s">
        <v>48</v>
      </c>
      <c r="E575" s="9" t="str">
        <f>"241402"</f>
        <v>241402</v>
      </c>
      <c r="F575" s="9" t="str">
        <f>"王国英"</f>
        <v>王国英</v>
      </c>
      <c r="G575" s="9" t="str">
        <f>"女"</f>
        <v>女</v>
      </c>
      <c r="H575" s="8"/>
    </row>
    <row r="576" spans="1:8" ht="34.5" customHeight="1">
      <c r="A576" s="8">
        <v>573</v>
      </c>
      <c r="B576" s="9" t="str">
        <f>"651720240531141313102854"</f>
        <v>651720240531141313102854</v>
      </c>
      <c r="C576" s="9" t="s">
        <v>50</v>
      </c>
      <c r="D576" s="9" t="s">
        <v>46</v>
      </c>
      <c r="E576" s="9" t="str">
        <f>"241403"</f>
        <v>241403</v>
      </c>
      <c r="F576" s="9" t="str">
        <f>"黄青平"</f>
        <v>黄青平</v>
      </c>
      <c r="G576" s="9" t="str">
        <f>"男"</f>
        <v>男</v>
      </c>
      <c r="H576" s="8"/>
    </row>
    <row r="577" spans="1:8" ht="34.5" customHeight="1">
      <c r="A577" s="8">
        <v>574</v>
      </c>
      <c r="B577" s="9" t="str">
        <f>"651720240602185332115744"</f>
        <v>651720240602185332115744</v>
      </c>
      <c r="C577" s="9" t="s">
        <v>50</v>
      </c>
      <c r="D577" s="9" t="s">
        <v>46</v>
      </c>
      <c r="E577" s="9" t="str">
        <f>"241403"</f>
        <v>241403</v>
      </c>
      <c r="F577" s="9" t="str">
        <f>"黄贵能"</f>
        <v>黄贵能</v>
      </c>
      <c r="G577" s="9" t="str">
        <f>"男"</f>
        <v>男</v>
      </c>
      <c r="H577" s="8"/>
    </row>
    <row r="578" spans="1:8" ht="34.5" customHeight="1">
      <c r="A578" s="8">
        <v>575</v>
      </c>
      <c r="B578" s="9" t="str">
        <f>"65172024052519073176976"</f>
        <v>65172024052519073176976</v>
      </c>
      <c r="C578" s="9" t="s">
        <v>50</v>
      </c>
      <c r="D578" s="9" t="s">
        <v>33</v>
      </c>
      <c r="E578" s="9" t="str">
        <f>"241404"</f>
        <v>241404</v>
      </c>
      <c r="F578" s="9" t="str">
        <f>"李海星"</f>
        <v>李海星</v>
      </c>
      <c r="G578" s="9" t="str">
        <f>"女"</f>
        <v>女</v>
      </c>
      <c r="H578" s="8"/>
    </row>
    <row r="579" spans="1:8" ht="34.5" customHeight="1">
      <c r="A579" s="8">
        <v>576</v>
      </c>
      <c r="B579" s="9" t="str">
        <f>"65172024052508591676245"</f>
        <v>65172024052508591676245</v>
      </c>
      <c r="C579" s="9" t="s">
        <v>50</v>
      </c>
      <c r="D579" s="9" t="s">
        <v>33</v>
      </c>
      <c r="E579" s="9" t="str">
        <f>"241404"</f>
        <v>241404</v>
      </c>
      <c r="F579" s="9" t="str">
        <f>"叶彩慧"</f>
        <v>叶彩慧</v>
      </c>
      <c r="G579" s="9" t="str">
        <f>"女"</f>
        <v>女</v>
      </c>
      <c r="H579" s="8"/>
    </row>
    <row r="580" spans="1:8" ht="34.5" customHeight="1">
      <c r="A580" s="8">
        <v>577</v>
      </c>
      <c r="B580" s="9" t="str">
        <f>"651720240604202550131446"</f>
        <v>651720240604202550131446</v>
      </c>
      <c r="C580" s="9" t="s">
        <v>50</v>
      </c>
      <c r="D580" s="9" t="s">
        <v>33</v>
      </c>
      <c r="E580" s="9" t="str">
        <f>"241404"</f>
        <v>241404</v>
      </c>
      <c r="F580" s="9" t="str">
        <f>"袁艺"</f>
        <v>袁艺</v>
      </c>
      <c r="G580" s="9" t="str">
        <f>"女"</f>
        <v>女</v>
      </c>
      <c r="H580" s="8"/>
    </row>
    <row r="581" spans="1:8" ht="34.5" customHeight="1">
      <c r="A581" s="8">
        <v>578</v>
      </c>
      <c r="B581" s="9" t="str">
        <f>"651720240531111446101685"</f>
        <v>651720240531111446101685</v>
      </c>
      <c r="C581" s="9" t="s">
        <v>51</v>
      </c>
      <c r="D581" s="9" t="s">
        <v>35</v>
      </c>
      <c r="E581" s="9" t="str">
        <f>"241501"</f>
        <v>241501</v>
      </c>
      <c r="F581" s="9" t="str">
        <f>"陈青霞"</f>
        <v>陈青霞</v>
      </c>
      <c r="G581" s="9" t="str">
        <f>"女"</f>
        <v>女</v>
      </c>
      <c r="H581" s="8"/>
    </row>
    <row r="582" spans="1:8" ht="34.5" customHeight="1">
      <c r="A582" s="8">
        <v>579</v>
      </c>
      <c r="B582" s="9" t="str">
        <f>"651720240602181547115583"</f>
        <v>651720240602181547115583</v>
      </c>
      <c r="C582" s="9" t="s">
        <v>51</v>
      </c>
      <c r="D582" s="9" t="s">
        <v>35</v>
      </c>
      <c r="E582" s="9" t="str">
        <f>"241501"</f>
        <v>241501</v>
      </c>
      <c r="F582" s="9" t="str">
        <f>"邓论鸿"</f>
        <v>邓论鸿</v>
      </c>
      <c r="G582" s="9" t="str">
        <f>"男"</f>
        <v>男</v>
      </c>
      <c r="H582" s="8"/>
    </row>
    <row r="583" spans="1:8" ht="34.5" customHeight="1">
      <c r="A583" s="8">
        <v>580</v>
      </c>
      <c r="B583" s="9" t="str">
        <f>"651720240605200451140599"</f>
        <v>651720240605200451140599</v>
      </c>
      <c r="C583" s="9" t="s">
        <v>51</v>
      </c>
      <c r="D583" s="9" t="s">
        <v>35</v>
      </c>
      <c r="E583" s="9" t="str">
        <f>"241501"</f>
        <v>241501</v>
      </c>
      <c r="F583" s="9" t="str">
        <f>"陈翠婕"</f>
        <v>陈翠婕</v>
      </c>
      <c r="G583" s="9" t="str">
        <f>"女"</f>
        <v>女</v>
      </c>
      <c r="H583" s="8"/>
    </row>
    <row r="584" spans="1:8" ht="34.5" customHeight="1">
      <c r="A584" s="8">
        <v>581</v>
      </c>
      <c r="B584" s="9" t="str">
        <f>"65172024052411310474627"</f>
        <v>65172024052411310474627</v>
      </c>
      <c r="C584" s="9" t="s">
        <v>51</v>
      </c>
      <c r="D584" s="9" t="s">
        <v>40</v>
      </c>
      <c r="E584" s="9" t="str">
        <f>"241502"</f>
        <v>241502</v>
      </c>
      <c r="F584" s="9" t="str">
        <f>"李慧慧"</f>
        <v>李慧慧</v>
      </c>
      <c r="G584" s="9" t="str">
        <f>"女"</f>
        <v>女</v>
      </c>
      <c r="H584" s="8"/>
    </row>
    <row r="585" spans="1:8" ht="34.5" customHeight="1">
      <c r="A585" s="8">
        <v>582</v>
      </c>
      <c r="B585" s="9" t="str">
        <f>"65172024052415103375241"</f>
        <v>65172024052415103375241</v>
      </c>
      <c r="C585" s="9" t="s">
        <v>51</v>
      </c>
      <c r="D585" s="9" t="s">
        <v>33</v>
      </c>
      <c r="E585" s="9" t="str">
        <f>"241503"</f>
        <v>241503</v>
      </c>
      <c r="F585" s="9" t="str">
        <f>"李伟"</f>
        <v>李伟</v>
      </c>
      <c r="G585" s="9" t="str">
        <f>"男"</f>
        <v>男</v>
      </c>
      <c r="H585" s="8"/>
    </row>
    <row r="586" spans="1:8" ht="34.5" customHeight="1">
      <c r="A586" s="8">
        <v>583</v>
      </c>
      <c r="B586" s="9" t="str">
        <f>"65172024052616284777979"</f>
        <v>65172024052616284777979</v>
      </c>
      <c r="C586" s="9" t="s">
        <v>51</v>
      </c>
      <c r="D586" s="9" t="s">
        <v>33</v>
      </c>
      <c r="E586" s="9" t="str">
        <f>"241503"</f>
        <v>241503</v>
      </c>
      <c r="F586" s="9" t="str">
        <f>"孙嘉"</f>
        <v>孙嘉</v>
      </c>
      <c r="G586" s="9" t="str">
        <f>"女"</f>
        <v>女</v>
      </c>
      <c r="H586" s="8"/>
    </row>
    <row r="587" spans="1:8" ht="34.5" customHeight="1">
      <c r="A587" s="8">
        <v>584</v>
      </c>
      <c r="B587" s="9" t="str">
        <f>"651720240601004203109184"</f>
        <v>651720240601004203109184</v>
      </c>
      <c r="C587" s="9" t="s">
        <v>51</v>
      </c>
      <c r="D587" s="9" t="s">
        <v>33</v>
      </c>
      <c r="E587" s="9" t="str">
        <f>"241503"</f>
        <v>241503</v>
      </c>
      <c r="F587" s="9" t="str">
        <f>"吴虹燕"</f>
        <v>吴虹燕</v>
      </c>
      <c r="G587" s="9" t="str">
        <f>"女"</f>
        <v>女</v>
      </c>
      <c r="H587" s="8"/>
    </row>
    <row r="588" spans="1:8" ht="34.5" customHeight="1">
      <c r="A588" s="8">
        <v>585</v>
      </c>
      <c r="B588" s="9" t="str">
        <f>"65172024053018523598024"</f>
        <v>65172024053018523598024</v>
      </c>
      <c r="C588" s="9" t="s">
        <v>52</v>
      </c>
      <c r="D588" s="9" t="s">
        <v>33</v>
      </c>
      <c r="E588" s="9" t="str">
        <f>"241602"</f>
        <v>241602</v>
      </c>
      <c r="F588" s="9" t="str">
        <f>"邓子红"</f>
        <v>邓子红</v>
      </c>
      <c r="G588" s="9" t="str">
        <f>"女"</f>
        <v>女</v>
      </c>
      <c r="H588" s="8"/>
    </row>
    <row r="589" spans="1:8" ht="34.5" customHeight="1">
      <c r="A589" s="8">
        <v>586</v>
      </c>
      <c r="B589" s="9" t="str">
        <f>"65172024052719301682073"</f>
        <v>65172024052719301682073</v>
      </c>
      <c r="C589" s="9" t="s">
        <v>53</v>
      </c>
      <c r="D589" s="9" t="s">
        <v>35</v>
      </c>
      <c r="E589" s="9" t="str">
        <f>"241701"</f>
        <v>241701</v>
      </c>
      <c r="F589" s="9" t="str">
        <f>"刘涵涵"</f>
        <v>刘涵涵</v>
      </c>
      <c r="G589" s="9" t="str">
        <f>"女"</f>
        <v>女</v>
      </c>
      <c r="H589" s="8"/>
    </row>
    <row r="590" spans="1:8" ht="34.5" customHeight="1">
      <c r="A590" s="8">
        <v>587</v>
      </c>
      <c r="B590" s="9" t="str">
        <f>"651720240531111552101698"</f>
        <v>651720240531111552101698</v>
      </c>
      <c r="C590" s="9" t="s">
        <v>53</v>
      </c>
      <c r="D590" s="9" t="s">
        <v>35</v>
      </c>
      <c r="E590" s="9" t="str">
        <f>"241701"</f>
        <v>241701</v>
      </c>
      <c r="F590" s="9" t="str">
        <f>"张洪铭"</f>
        <v>张洪铭</v>
      </c>
      <c r="G590" s="9" t="str">
        <f>"男"</f>
        <v>男</v>
      </c>
      <c r="H590" s="8"/>
    </row>
    <row r="591" spans="1:8" ht="34.5" customHeight="1">
      <c r="A591" s="8">
        <v>588</v>
      </c>
      <c r="B591" s="9" t="str">
        <f>"65172024052912320887453"</f>
        <v>65172024052912320887453</v>
      </c>
      <c r="C591" s="9" t="s">
        <v>53</v>
      </c>
      <c r="D591" s="9" t="s">
        <v>31</v>
      </c>
      <c r="E591" s="9" t="str">
        <f>"241702"</f>
        <v>241702</v>
      </c>
      <c r="F591" s="9" t="str">
        <f>"周亿慧"</f>
        <v>周亿慧</v>
      </c>
      <c r="G591" s="9" t="str">
        <f>"女"</f>
        <v>女</v>
      </c>
      <c r="H591" s="8"/>
    </row>
    <row r="592" spans="1:8" ht="34.5" customHeight="1">
      <c r="A592" s="8">
        <v>589</v>
      </c>
      <c r="B592" s="9" t="str">
        <f>"651720240601161643111167"</f>
        <v>651720240601161643111167</v>
      </c>
      <c r="C592" s="9" t="s">
        <v>53</v>
      </c>
      <c r="D592" s="9" t="s">
        <v>31</v>
      </c>
      <c r="E592" s="9" t="str">
        <f>"241702"</f>
        <v>241702</v>
      </c>
      <c r="F592" s="9" t="str">
        <f>"周柔雪"</f>
        <v>周柔雪</v>
      </c>
      <c r="G592" s="9" t="str">
        <f>"女"</f>
        <v>女</v>
      </c>
      <c r="H592" s="8"/>
    </row>
    <row r="593" spans="1:8" ht="34.5" customHeight="1">
      <c r="A593" s="8">
        <v>590</v>
      </c>
      <c r="B593" s="9" t="str">
        <f>"651720240603233239125786"</f>
        <v>651720240603233239125786</v>
      </c>
      <c r="C593" s="9" t="s">
        <v>53</v>
      </c>
      <c r="D593" s="9" t="s">
        <v>31</v>
      </c>
      <c r="E593" s="9" t="str">
        <f>"241702"</f>
        <v>241702</v>
      </c>
      <c r="F593" s="9" t="str">
        <f>"胡蝶"</f>
        <v>胡蝶</v>
      </c>
      <c r="G593" s="9" t="str">
        <f>"女"</f>
        <v>女</v>
      </c>
      <c r="H593" s="8"/>
    </row>
    <row r="594" spans="1:8" ht="34.5" customHeight="1">
      <c r="A594" s="8">
        <v>591</v>
      </c>
      <c r="B594" s="9" t="str">
        <f>"65172024052422044076092"</f>
        <v>65172024052422044076092</v>
      </c>
      <c r="C594" s="9" t="s">
        <v>54</v>
      </c>
      <c r="D594" s="9" t="s">
        <v>39</v>
      </c>
      <c r="E594" s="9" t="str">
        <f aca="true" t="shared" si="65" ref="E594:E620">"241801"</f>
        <v>241801</v>
      </c>
      <c r="F594" s="9" t="str">
        <f>"戴磊"</f>
        <v>戴磊</v>
      </c>
      <c r="G594" s="9" t="str">
        <f>"男"</f>
        <v>男</v>
      </c>
      <c r="H594" s="8"/>
    </row>
    <row r="595" spans="1:8" ht="34.5" customHeight="1">
      <c r="A595" s="8">
        <v>592</v>
      </c>
      <c r="B595" s="9" t="str">
        <f>"65172024052516443076812"</f>
        <v>65172024052516443076812</v>
      </c>
      <c r="C595" s="9" t="s">
        <v>54</v>
      </c>
      <c r="D595" s="9" t="s">
        <v>39</v>
      </c>
      <c r="E595" s="9" t="str">
        <f t="shared" si="65"/>
        <v>241801</v>
      </c>
      <c r="F595" s="9" t="str">
        <f>"范梦桓"</f>
        <v>范梦桓</v>
      </c>
      <c r="G595" s="9" t="str">
        <f aca="true" t="shared" si="66" ref="G595:G626">"女"</f>
        <v>女</v>
      </c>
      <c r="H595" s="8"/>
    </row>
    <row r="596" spans="1:8" ht="34.5" customHeight="1">
      <c r="A596" s="8">
        <v>593</v>
      </c>
      <c r="B596" s="9" t="str">
        <f>"65172024052717172281728"</f>
        <v>65172024052717172281728</v>
      </c>
      <c r="C596" s="9" t="s">
        <v>54</v>
      </c>
      <c r="D596" s="9" t="s">
        <v>39</v>
      </c>
      <c r="E596" s="9" t="str">
        <f t="shared" si="65"/>
        <v>241801</v>
      </c>
      <c r="F596" s="9" t="str">
        <f>"林华芸"</f>
        <v>林华芸</v>
      </c>
      <c r="G596" s="9" t="str">
        <f t="shared" si="66"/>
        <v>女</v>
      </c>
      <c r="H596" s="8"/>
    </row>
    <row r="597" spans="1:8" ht="34.5" customHeight="1">
      <c r="A597" s="8">
        <v>594</v>
      </c>
      <c r="B597" s="9" t="str">
        <f>"65172024052723422082750"</f>
        <v>65172024052723422082750</v>
      </c>
      <c r="C597" s="9" t="s">
        <v>54</v>
      </c>
      <c r="D597" s="9" t="s">
        <v>39</v>
      </c>
      <c r="E597" s="9" t="str">
        <f t="shared" si="65"/>
        <v>241801</v>
      </c>
      <c r="F597" s="9" t="str">
        <f>"陈佳倩"</f>
        <v>陈佳倩</v>
      </c>
      <c r="G597" s="9" t="str">
        <f t="shared" si="66"/>
        <v>女</v>
      </c>
      <c r="H597" s="8"/>
    </row>
    <row r="598" spans="1:8" ht="34.5" customHeight="1">
      <c r="A598" s="8">
        <v>595</v>
      </c>
      <c r="B598" s="9" t="str">
        <f>"65172024052823065086017"</f>
        <v>65172024052823065086017</v>
      </c>
      <c r="C598" s="9" t="s">
        <v>54</v>
      </c>
      <c r="D598" s="9" t="s">
        <v>39</v>
      </c>
      <c r="E598" s="9" t="str">
        <f t="shared" si="65"/>
        <v>241801</v>
      </c>
      <c r="F598" s="9" t="str">
        <f>"吴春杏"</f>
        <v>吴春杏</v>
      </c>
      <c r="G598" s="9" t="str">
        <f t="shared" si="66"/>
        <v>女</v>
      </c>
      <c r="H598" s="8"/>
    </row>
    <row r="599" spans="1:8" ht="34.5" customHeight="1">
      <c r="A599" s="8">
        <v>596</v>
      </c>
      <c r="B599" s="9" t="str">
        <f>"65172024052709355779092"</f>
        <v>65172024052709355779092</v>
      </c>
      <c r="C599" s="9" t="s">
        <v>54</v>
      </c>
      <c r="D599" s="9" t="s">
        <v>39</v>
      </c>
      <c r="E599" s="9" t="str">
        <f t="shared" si="65"/>
        <v>241801</v>
      </c>
      <c r="F599" s="9" t="str">
        <f>"吴清菡"</f>
        <v>吴清菡</v>
      </c>
      <c r="G599" s="9" t="str">
        <f t="shared" si="66"/>
        <v>女</v>
      </c>
      <c r="H599" s="8"/>
    </row>
    <row r="600" spans="1:8" ht="34.5" customHeight="1">
      <c r="A600" s="8">
        <v>597</v>
      </c>
      <c r="B600" s="9" t="str">
        <f>"65172024052914105887770"</f>
        <v>65172024052914105887770</v>
      </c>
      <c r="C600" s="9" t="s">
        <v>54</v>
      </c>
      <c r="D600" s="9" t="s">
        <v>39</v>
      </c>
      <c r="E600" s="9" t="str">
        <f t="shared" si="65"/>
        <v>241801</v>
      </c>
      <c r="F600" s="9" t="str">
        <f>"李婧"</f>
        <v>李婧</v>
      </c>
      <c r="G600" s="9" t="str">
        <f t="shared" si="66"/>
        <v>女</v>
      </c>
      <c r="H600" s="8"/>
    </row>
    <row r="601" spans="1:8" ht="34.5" customHeight="1">
      <c r="A601" s="8">
        <v>598</v>
      </c>
      <c r="B601" s="9" t="str">
        <f>"65172024052921431990745"</f>
        <v>65172024052921431990745</v>
      </c>
      <c r="C601" s="9" t="s">
        <v>54</v>
      </c>
      <c r="D601" s="9" t="s">
        <v>39</v>
      </c>
      <c r="E601" s="9" t="str">
        <f t="shared" si="65"/>
        <v>241801</v>
      </c>
      <c r="F601" s="9" t="str">
        <f>"符露萍"</f>
        <v>符露萍</v>
      </c>
      <c r="G601" s="9" t="str">
        <f t="shared" si="66"/>
        <v>女</v>
      </c>
      <c r="H601" s="8"/>
    </row>
    <row r="602" spans="1:8" ht="34.5" customHeight="1">
      <c r="A602" s="8">
        <v>599</v>
      </c>
      <c r="B602" s="9" t="str">
        <f>"65172024053015504496534"</f>
        <v>65172024053015504496534</v>
      </c>
      <c r="C602" s="9" t="s">
        <v>54</v>
      </c>
      <c r="D602" s="9" t="s">
        <v>39</v>
      </c>
      <c r="E602" s="9" t="str">
        <f t="shared" si="65"/>
        <v>241801</v>
      </c>
      <c r="F602" s="9" t="str">
        <f>"吉晶晶"</f>
        <v>吉晶晶</v>
      </c>
      <c r="G602" s="9" t="str">
        <f t="shared" si="66"/>
        <v>女</v>
      </c>
      <c r="H602" s="8"/>
    </row>
    <row r="603" spans="1:8" ht="34.5" customHeight="1">
      <c r="A603" s="8">
        <v>600</v>
      </c>
      <c r="B603" s="9" t="str">
        <f>"65172024052620083878251"</f>
        <v>65172024052620083878251</v>
      </c>
      <c r="C603" s="9" t="s">
        <v>54</v>
      </c>
      <c r="D603" s="9" t="s">
        <v>39</v>
      </c>
      <c r="E603" s="9" t="str">
        <f t="shared" si="65"/>
        <v>241801</v>
      </c>
      <c r="F603" s="9" t="str">
        <f>"符茹"</f>
        <v>符茹</v>
      </c>
      <c r="G603" s="9" t="str">
        <f t="shared" si="66"/>
        <v>女</v>
      </c>
      <c r="H603" s="8"/>
    </row>
    <row r="604" spans="1:8" ht="34.5" customHeight="1">
      <c r="A604" s="8">
        <v>601</v>
      </c>
      <c r="B604" s="9" t="str">
        <f>"651720240601082850109354"</f>
        <v>651720240601082850109354</v>
      </c>
      <c r="C604" s="9" t="s">
        <v>54</v>
      </c>
      <c r="D604" s="9" t="s">
        <v>39</v>
      </c>
      <c r="E604" s="9" t="str">
        <f t="shared" si="65"/>
        <v>241801</v>
      </c>
      <c r="F604" s="9" t="str">
        <f>"黄美惠"</f>
        <v>黄美惠</v>
      </c>
      <c r="G604" s="9" t="str">
        <f t="shared" si="66"/>
        <v>女</v>
      </c>
      <c r="H604" s="8"/>
    </row>
    <row r="605" spans="1:8" ht="34.5" customHeight="1">
      <c r="A605" s="8">
        <v>602</v>
      </c>
      <c r="B605" s="9" t="str">
        <f>"65172024052409224674109"</f>
        <v>65172024052409224674109</v>
      </c>
      <c r="C605" s="9" t="s">
        <v>54</v>
      </c>
      <c r="D605" s="9" t="s">
        <v>39</v>
      </c>
      <c r="E605" s="9" t="str">
        <f t="shared" si="65"/>
        <v>241801</v>
      </c>
      <c r="F605" s="9" t="str">
        <f>"胡静超"</f>
        <v>胡静超</v>
      </c>
      <c r="G605" s="9" t="str">
        <f t="shared" si="66"/>
        <v>女</v>
      </c>
      <c r="H605" s="8"/>
    </row>
    <row r="606" spans="1:8" ht="34.5" customHeight="1">
      <c r="A606" s="8">
        <v>603</v>
      </c>
      <c r="B606" s="9" t="str">
        <f>"651720240603105129119874"</f>
        <v>651720240603105129119874</v>
      </c>
      <c r="C606" s="9" t="s">
        <v>54</v>
      </c>
      <c r="D606" s="9" t="s">
        <v>39</v>
      </c>
      <c r="E606" s="9" t="str">
        <f t="shared" si="65"/>
        <v>241801</v>
      </c>
      <c r="F606" s="9" t="str">
        <f>"蔡秋荻"</f>
        <v>蔡秋荻</v>
      </c>
      <c r="G606" s="9" t="str">
        <f t="shared" si="66"/>
        <v>女</v>
      </c>
      <c r="H606" s="8"/>
    </row>
    <row r="607" spans="1:8" ht="34.5" customHeight="1">
      <c r="A607" s="8">
        <v>604</v>
      </c>
      <c r="B607" s="9" t="str">
        <f>"65172024053016211496874"</f>
        <v>65172024053016211496874</v>
      </c>
      <c r="C607" s="9" t="s">
        <v>54</v>
      </c>
      <c r="D607" s="9" t="s">
        <v>39</v>
      </c>
      <c r="E607" s="9" t="str">
        <f t="shared" si="65"/>
        <v>241801</v>
      </c>
      <c r="F607" s="9" t="str">
        <f>"杨美凤"</f>
        <v>杨美凤</v>
      </c>
      <c r="G607" s="9" t="str">
        <f t="shared" si="66"/>
        <v>女</v>
      </c>
      <c r="H607" s="8"/>
    </row>
    <row r="608" spans="1:8" ht="34.5" customHeight="1">
      <c r="A608" s="8">
        <v>605</v>
      </c>
      <c r="B608" s="9" t="str">
        <f>"65172024053015471996495"</f>
        <v>65172024053015471996495</v>
      </c>
      <c r="C608" s="9" t="s">
        <v>54</v>
      </c>
      <c r="D608" s="9" t="s">
        <v>39</v>
      </c>
      <c r="E608" s="9" t="str">
        <f t="shared" si="65"/>
        <v>241801</v>
      </c>
      <c r="F608" s="9" t="str">
        <f>"郑璐"</f>
        <v>郑璐</v>
      </c>
      <c r="G608" s="9" t="str">
        <f t="shared" si="66"/>
        <v>女</v>
      </c>
      <c r="H608" s="8"/>
    </row>
    <row r="609" spans="1:8" ht="34.5" customHeight="1">
      <c r="A609" s="8">
        <v>606</v>
      </c>
      <c r="B609" s="9" t="str">
        <f>"651720240603150202122429"</f>
        <v>651720240603150202122429</v>
      </c>
      <c r="C609" s="9" t="s">
        <v>54</v>
      </c>
      <c r="D609" s="9" t="s">
        <v>39</v>
      </c>
      <c r="E609" s="9" t="str">
        <f t="shared" si="65"/>
        <v>241801</v>
      </c>
      <c r="F609" s="9" t="str">
        <f>"程丽敏"</f>
        <v>程丽敏</v>
      </c>
      <c r="G609" s="9" t="str">
        <f t="shared" si="66"/>
        <v>女</v>
      </c>
      <c r="H609" s="8"/>
    </row>
    <row r="610" spans="1:8" ht="34.5" customHeight="1">
      <c r="A610" s="8">
        <v>607</v>
      </c>
      <c r="B610" s="9" t="str">
        <f>"651720240603134841121667"</f>
        <v>651720240603134841121667</v>
      </c>
      <c r="C610" s="9" t="s">
        <v>54</v>
      </c>
      <c r="D610" s="9" t="s">
        <v>39</v>
      </c>
      <c r="E610" s="9" t="str">
        <f t="shared" si="65"/>
        <v>241801</v>
      </c>
      <c r="F610" s="9" t="str">
        <f>"符渝苑"</f>
        <v>符渝苑</v>
      </c>
      <c r="G610" s="9" t="str">
        <f t="shared" si="66"/>
        <v>女</v>
      </c>
      <c r="H610" s="8"/>
    </row>
    <row r="611" spans="1:8" ht="34.5" customHeight="1">
      <c r="A611" s="8">
        <v>608</v>
      </c>
      <c r="B611" s="9" t="str">
        <f>"651720240604135637128802"</f>
        <v>651720240604135637128802</v>
      </c>
      <c r="C611" s="9" t="s">
        <v>54</v>
      </c>
      <c r="D611" s="9" t="s">
        <v>39</v>
      </c>
      <c r="E611" s="9" t="str">
        <f t="shared" si="65"/>
        <v>241801</v>
      </c>
      <c r="F611" s="9" t="str">
        <f>"孙钰"</f>
        <v>孙钰</v>
      </c>
      <c r="G611" s="9" t="str">
        <f t="shared" si="66"/>
        <v>女</v>
      </c>
      <c r="H611" s="8"/>
    </row>
    <row r="612" spans="1:8" ht="34.5" customHeight="1">
      <c r="A612" s="8">
        <v>609</v>
      </c>
      <c r="B612" s="9" t="str">
        <f>"651720240604140133128827"</f>
        <v>651720240604140133128827</v>
      </c>
      <c r="C612" s="9" t="s">
        <v>54</v>
      </c>
      <c r="D612" s="9" t="s">
        <v>39</v>
      </c>
      <c r="E612" s="9" t="str">
        <f t="shared" si="65"/>
        <v>241801</v>
      </c>
      <c r="F612" s="9" t="str">
        <f>"唐婕"</f>
        <v>唐婕</v>
      </c>
      <c r="G612" s="9" t="str">
        <f t="shared" si="66"/>
        <v>女</v>
      </c>
      <c r="H612" s="8"/>
    </row>
    <row r="613" spans="1:8" ht="34.5" customHeight="1">
      <c r="A613" s="8">
        <v>610</v>
      </c>
      <c r="B613" s="9" t="str">
        <f>"651720240604182627130797"</f>
        <v>651720240604182627130797</v>
      </c>
      <c r="C613" s="9" t="s">
        <v>54</v>
      </c>
      <c r="D613" s="9" t="s">
        <v>39</v>
      </c>
      <c r="E613" s="9" t="str">
        <f t="shared" si="65"/>
        <v>241801</v>
      </c>
      <c r="F613" s="9" t="str">
        <f>"紫诗雨"</f>
        <v>紫诗雨</v>
      </c>
      <c r="G613" s="9" t="str">
        <f t="shared" si="66"/>
        <v>女</v>
      </c>
      <c r="H613" s="8"/>
    </row>
    <row r="614" spans="1:8" ht="34.5" customHeight="1">
      <c r="A614" s="8">
        <v>611</v>
      </c>
      <c r="B614" s="9" t="str">
        <f>"651720240604203557131496"</f>
        <v>651720240604203557131496</v>
      </c>
      <c r="C614" s="9" t="s">
        <v>54</v>
      </c>
      <c r="D614" s="9" t="s">
        <v>39</v>
      </c>
      <c r="E614" s="9" t="str">
        <f t="shared" si="65"/>
        <v>241801</v>
      </c>
      <c r="F614" s="9" t="str">
        <f>"王丽湫"</f>
        <v>王丽湫</v>
      </c>
      <c r="G614" s="9" t="str">
        <f t="shared" si="66"/>
        <v>女</v>
      </c>
      <c r="H614" s="8"/>
    </row>
    <row r="615" spans="1:8" ht="34.5" customHeight="1">
      <c r="A615" s="8">
        <v>612</v>
      </c>
      <c r="B615" s="9" t="str">
        <f>"651720240604213856131885"</f>
        <v>651720240604213856131885</v>
      </c>
      <c r="C615" s="9" t="s">
        <v>54</v>
      </c>
      <c r="D615" s="9" t="s">
        <v>39</v>
      </c>
      <c r="E615" s="9" t="str">
        <f t="shared" si="65"/>
        <v>241801</v>
      </c>
      <c r="F615" s="9" t="str">
        <f>"黎婷婷"</f>
        <v>黎婷婷</v>
      </c>
      <c r="G615" s="9" t="str">
        <f t="shared" si="66"/>
        <v>女</v>
      </c>
      <c r="H615" s="8"/>
    </row>
    <row r="616" spans="1:8" ht="34.5" customHeight="1">
      <c r="A616" s="8">
        <v>613</v>
      </c>
      <c r="B616" s="9" t="str">
        <f>"651720240605001610132568"</f>
        <v>651720240605001610132568</v>
      </c>
      <c r="C616" s="9" t="s">
        <v>54</v>
      </c>
      <c r="D616" s="9" t="s">
        <v>39</v>
      </c>
      <c r="E616" s="9" t="str">
        <f t="shared" si="65"/>
        <v>241801</v>
      </c>
      <c r="F616" s="9" t="str">
        <f>"杨佳佳"</f>
        <v>杨佳佳</v>
      </c>
      <c r="G616" s="9" t="str">
        <f t="shared" si="66"/>
        <v>女</v>
      </c>
      <c r="H616" s="8"/>
    </row>
    <row r="617" spans="1:8" ht="34.5" customHeight="1">
      <c r="A617" s="8">
        <v>614</v>
      </c>
      <c r="B617" s="9" t="str">
        <f>"651720240605130757136547"</f>
        <v>651720240605130757136547</v>
      </c>
      <c r="C617" s="9" t="s">
        <v>54</v>
      </c>
      <c r="D617" s="9" t="s">
        <v>39</v>
      </c>
      <c r="E617" s="9" t="str">
        <f t="shared" si="65"/>
        <v>241801</v>
      </c>
      <c r="F617" s="9" t="str">
        <f>"吴启璋"</f>
        <v>吴启璋</v>
      </c>
      <c r="G617" s="9" t="str">
        <f t="shared" si="66"/>
        <v>女</v>
      </c>
      <c r="H617" s="8"/>
    </row>
    <row r="618" spans="1:8" ht="34.5" customHeight="1">
      <c r="A618" s="8">
        <v>615</v>
      </c>
      <c r="B618" s="9" t="str">
        <f>"651720240605155810139569"</f>
        <v>651720240605155810139569</v>
      </c>
      <c r="C618" s="9" t="s">
        <v>54</v>
      </c>
      <c r="D618" s="9" t="s">
        <v>39</v>
      </c>
      <c r="E618" s="9" t="str">
        <f t="shared" si="65"/>
        <v>241801</v>
      </c>
      <c r="F618" s="9" t="str">
        <f>"徐晓捐"</f>
        <v>徐晓捐</v>
      </c>
      <c r="G618" s="9" t="str">
        <f t="shared" si="66"/>
        <v>女</v>
      </c>
      <c r="H618" s="8"/>
    </row>
    <row r="619" spans="1:8" ht="34.5" customHeight="1">
      <c r="A619" s="8">
        <v>616</v>
      </c>
      <c r="B619" s="9" t="str">
        <f>"651720240605211643140883"</f>
        <v>651720240605211643140883</v>
      </c>
      <c r="C619" s="9" t="s">
        <v>54</v>
      </c>
      <c r="D619" s="9" t="s">
        <v>39</v>
      </c>
      <c r="E619" s="9" t="str">
        <f t="shared" si="65"/>
        <v>241801</v>
      </c>
      <c r="F619" s="9" t="str">
        <f>"梁慧"</f>
        <v>梁慧</v>
      </c>
      <c r="G619" s="9" t="str">
        <f t="shared" si="66"/>
        <v>女</v>
      </c>
      <c r="H619" s="8"/>
    </row>
    <row r="620" spans="1:8" ht="34.5" customHeight="1">
      <c r="A620" s="8">
        <v>617</v>
      </c>
      <c r="B620" s="9" t="str">
        <f>"651720240606005416141537"</f>
        <v>651720240606005416141537</v>
      </c>
      <c r="C620" s="9" t="s">
        <v>54</v>
      </c>
      <c r="D620" s="9" t="s">
        <v>39</v>
      </c>
      <c r="E620" s="9" t="str">
        <f t="shared" si="65"/>
        <v>241801</v>
      </c>
      <c r="F620" s="9" t="str">
        <f>"王虹臻"</f>
        <v>王虹臻</v>
      </c>
      <c r="G620" s="9" t="str">
        <f t="shared" si="66"/>
        <v>女</v>
      </c>
      <c r="H620" s="8"/>
    </row>
    <row r="621" spans="1:8" ht="34.5" customHeight="1">
      <c r="A621" s="8">
        <v>618</v>
      </c>
      <c r="B621" s="9" t="str">
        <f>"65172024052518263876924"</f>
        <v>65172024052518263876924</v>
      </c>
      <c r="C621" s="9" t="s">
        <v>54</v>
      </c>
      <c r="D621" s="9" t="s">
        <v>35</v>
      </c>
      <c r="E621" s="9" t="str">
        <f aca="true" t="shared" si="67" ref="E621:E630">"241802"</f>
        <v>241802</v>
      </c>
      <c r="F621" s="9" t="str">
        <f>"曾明月"</f>
        <v>曾明月</v>
      </c>
      <c r="G621" s="9" t="str">
        <f t="shared" si="66"/>
        <v>女</v>
      </c>
      <c r="H621" s="8"/>
    </row>
    <row r="622" spans="1:8" ht="34.5" customHeight="1">
      <c r="A622" s="8">
        <v>619</v>
      </c>
      <c r="B622" s="9" t="str">
        <f>"65172024052712330080477"</f>
        <v>65172024052712330080477</v>
      </c>
      <c r="C622" s="9" t="s">
        <v>54</v>
      </c>
      <c r="D622" s="9" t="s">
        <v>35</v>
      </c>
      <c r="E622" s="9" t="str">
        <f t="shared" si="67"/>
        <v>241802</v>
      </c>
      <c r="F622" s="9" t="str">
        <f>"邹雨梦"</f>
        <v>邹雨梦</v>
      </c>
      <c r="G622" s="9" t="str">
        <f t="shared" si="66"/>
        <v>女</v>
      </c>
      <c r="H622" s="8"/>
    </row>
    <row r="623" spans="1:8" ht="34.5" customHeight="1">
      <c r="A623" s="8">
        <v>620</v>
      </c>
      <c r="B623" s="9" t="str">
        <f>"65172024052714433980967"</f>
        <v>65172024052714433980967</v>
      </c>
      <c r="C623" s="9" t="s">
        <v>54</v>
      </c>
      <c r="D623" s="9" t="s">
        <v>35</v>
      </c>
      <c r="E623" s="9" t="str">
        <f t="shared" si="67"/>
        <v>241802</v>
      </c>
      <c r="F623" s="9" t="str">
        <f>"文常瑾"</f>
        <v>文常瑾</v>
      </c>
      <c r="G623" s="9" t="str">
        <f t="shared" si="66"/>
        <v>女</v>
      </c>
      <c r="H623" s="8"/>
    </row>
    <row r="624" spans="1:8" ht="34.5" customHeight="1">
      <c r="A624" s="8">
        <v>621</v>
      </c>
      <c r="B624" s="9" t="str">
        <f>"65172024052619570878238"</f>
        <v>65172024052619570878238</v>
      </c>
      <c r="C624" s="9" t="s">
        <v>54</v>
      </c>
      <c r="D624" s="9" t="s">
        <v>35</v>
      </c>
      <c r="E624" s="9" t="str">
        <f t="shared" si="67"/>
        <v>241802</v>
      </c>
      <c r="F624" s="9" t="str">
        <f>"符晶妹"</f>
        <v>符晶妹</v>
      </c>
      <c r="G624" s="9" t="str">
        <f t="shared" si="66"/>
        <v>女</v>
      </c>
      <c r="H624" s="8"/>
    </row>
    <row r="625" spans="1:8" ht="34.5" customHeight="1">
      <c r="A625" s="8">
        <v>622</v>
      </c>
      <c r="B625" s="9" t="str">
        <f>"65172024053100174599851"</f>
        <v>65172024053100174599851</v>
      </c>
      <c r="C625" s="9" t="s">
        <v>54</v>
      </c>
      <c r="D625" s="9" t="s">
        <v>35</v>
      </c>
      <c r="E625" s="9" t="str">
        <f t="shared" si="67"/>
        <v>241802</v>
      </c>
      <c r="F625" s="9" t="str">
        <f>"符昕媛"</f>
        <v>符昕媛</v>
      </c>
      <c r="G625" s="9" t="str">
        <f t="shared" si="66"/>
        <v>女</v>
      </c>
      <c r="H625" s="8"/>
    </row>
    <row r="626" spans="1:8" ht="34.5" customHeight="1">
      <c r="A626" s="8">
        <v>623</v>
      </c>
      <c r="B626" s="9" t="str">
        <f>"651720240531142604102940"</f>
        <v>651720240531142604102940</v>
      </c>
      <c r="C626" s="9" t="s">
        <v>54</v>
      </c>
      <c r="D626" s="9" t="s">
        <v>35</v>
      </c>
      <c r="E626" s="9" t="str">
        <f t="shared" si="67"/>
        <v>241802</v>
      </c>
      <c r="F626" s="9" t="str">
        <f>"陈圣佳"</f>
        <v>陈圣佳</v>
      </c>
      <c r="G626" s="9" t="str">
        <f t="shared" si="66"/>
        <v>女</v>
      </c>
      <c r="H626" s="8"/>
    </row>
    <row r="627" spans="1:8" ht="34.5" customHeight="1">
      <c r="A627" s="8">
        <v>624</v>
      </c>
      <c r="B627" s="9" t="str">
        <f>"651720240531223956108883"</f>
        <v>651720240531223956108883</v>
      </c>
      <c r="C627" s="9" t="s">
        <v>54</v>
      </c>
      <c r="D627" s="9" t="s">
        <v>35</v>
      </c>
      <c r="E627" s="9" t="str">
        <f t="shared" si="67"/>
        <v>241802</v>
      </c>
      <c r="F627" s="9" t="str">
        <f>"王祚耿"</f>
        <v>王祚耿</v>
      </c>
      <c r="G627" s="9" t="str">
        <f>"男"</f>
        <v>男</v>
      </c>
      <c r="H627" s="8"/>
    </row>
    <row r="628" spans="1:8" ht="34.5" customHeight="1">
      <c r="A628" s="8">
        <v>625</v>
      </c>
      <c r="B628" s="9" t="str">
        <f>"651720240602163522115078"</f>
        <v>651720240602163522115078</v>
      </c>
      <c r="C628" s="9" t="s">
        <v>54</v>
      </c>
      <c r="D628" s="9" t="s">
        <v>35</v>
      </c>
      <c r="E628" s="9" t="str">
        <f t="shared" si="67"/>
        <v>241802</v>
      </c>
      <c r="F628" s="9" t="str">
        <f>"庄茵茵"</f>
        <v>庄茵茵</v>
      </c>
      <c r="G628" s="9" t="str">
        <f>"女"</f>
        <v>女</v>
      </c>
      <c r="H628" s="8"/>
    </row>
    <row r="629" spans="1:8" ht="34.5" customHeight="1">
      <c r="A629" s="8">
        <v>626</v>
      </c>
      <c r="B629" s="9" t="str">
        <f>"65172024052920034389978"</f>
        <v>65172024052920034389978</v>
      </c>
      <c r="C629" s="9" t="s">
        <v>54</v>
      </c>
      <c r="D629" s="9" t="s">
        <v>35</v>
      </c>
      <c r="E629" s="9" t="str">
        <f t="shared" si="67"/>
        <v>241802</v>
      </c>
      <c r="F629" s="9" t="str">
        <f>"陈师昌"</f>
        <v>陈师昌</v>
      </c>
      <c r="G629" s="9" t="str">
        <f>"男"</f>
        <v>男</v>
      </c>
      <c r="H629" s="8"/>
    </row>
    <row r="630" spans="1:8" ht="34.5" customHeight="1">
      <c r="A630" s="8">
        <v>627</v>
      </c>
      <c r="B630" s="9" t="str">
        <f>"651720240605180200140170"</f>
        <v>651720240605180200140170</v>
      </c>
      <c r="C630" s="9" t="s">
        <v>54</v>
      </c>
      <c r="D630" s="9" t="s">
        <v>35</v>
      </c>
      <c r="E630" s="9" t="str">
        <f t="shared" si="67"/>
        <v>241802</v>
      </c>
      <c r="F630" s="9" t="str">
        <f>"赵利秋"</f>
        <v>赵利秋</v>
      </c>
      <c r="G630" s="9" t="str">
        <f aca="true" t="shared" si="68" ref="G630:G642">"女"</f>
        <v>女</v>
      </c>
      <c r="H630" s="8"/>
    </row>
    <row r="631" spans="1:8" ht="34.5" customHeight="1">
      <c r="A631" s="8">
        <v>628</v>
      </c>
      <c r="B631" s="9" t="str">
        <f>"65172024052719025182018"</f>
        <v>65172024052719025182018</v>
      </c>
      <c r="C631" s="9" t="s">
        <v>54</v>
      </c>
      <c r="D631" s="9" t="s">
        <v>31</v>
      </c>
      <c r="E631" s="9" t="str">
        <f aca="true" t="shared" si="69" ref="E631:E636">"241803"</f>
        <v>241803</v>
      </c>
      <c r="F631" s="9" t="str">
        <f>"林彩艳"</f>
        <v>林彩艳</v>
      </c>
      <c r="G631" s="9" t="str">
        <f t="shared" si="68"/>
        <v>女</v>
      </c>
      <c r="H631" s="8"/>
    </row>
    <row r="632" spans="1:8" ht="34.5" customHeight="1">
      <c r="A632" s="8">
        <v>629</v>
      </c>
      <c r="B632" s="9" t="str">
        <f>"65172024052809364683031"</f>
        <v>65172024052809364683031</v>
      </c>
      <c r="C632" s="9" t="s">
        <v>54</v>
      </c>
      <c r="D632" s="9" t="s">
        <v>31</v>
      </c>
      <c r="E632" s="9" t="str">
        <f t="shared" si="69"/>
        <v>241803</v>
      </c>
      <c r="F632" s="9" t="str">
        <f>"陈秋伊"</f>
        <v>陈秋伊</v>
      </c>
      <c r="G632" s="9" t="str">
        <f t="shared" si="68"/>
        <v>女</v>
      </c>
      <c r="H632" s="8"/>
    </row>
    <row r="633" spans="1:8" ht="34.5" customHeight="1">
      <c r="A633" s="8">
        <v>630</v>
      </c>
      <c r="B633" s="9" t="str">
        <f>"65172024052620410378308"</f>
        <v>65172024052620410378308</v>
      </c>
      <c r="C633" s="9" t="s">
        <v>54</v>
      </c>
      <c r="D633" s="9" t="s">
        <v>31</v>
      </c>
      <c r="E633" s="9" t="str">
        <f t="shared" si="69"/>
        <v>241803</v>
      </c>
      <c r="F633" s="9" t="str">
        <f>"卫光翠"</f>
        <v>卫光翠</v>
      </c>
      <c r="G633" s="9" t="str">
        <f t="shared" si="68"/>
        <v>女</v>
      </c>
      <c r="H633" s="8"/>
    </row>
    <row r="634" spans="1:8" ht="34.5" customHeight="1">
      <c r="A634" s="8">
        <v>631</v>
      </c>
      <c r="B634" s="9" t="str">
        <f>"651720240531114139101895"</f>
        <v>651720240531114139101895</v>
      </c>
      <c r="C634" s="9" t="s">
        <v>54</v>
      </c>
      <c r="D634" s="9" t="s">
        <v>31</v>
      </c>
      <c r="E634" s="9" t="str">
        <f t="shared" si="69"/>
        <v>241803</v>
      </c>
      <c r="F634" s="9" t="str">
        <f>"邢维滢"</f>
        <v>邢维滢</v>
      </c>
      <c r="G634" s="9" t="str">
        <f t="shared" si="68"/>
        <v>女</v>
      </c>
      <c r="H634" s="8"/>
    </row>
    <row r="635" spans="1:8" ht="34.5" customHeight="1">
      <c r="A635" s="8">
        <v>632</v>
      </c>
      <c r="B635" s="9" t="str">
        <f>"651720240531231728109021"</f>
        <v>651720240531231728109021</v>
      </c>
      <c r="C635" s="9" t="s">
        <v>54</v>
      </c>
      <c r="D635" s="9" t="s">
        <v>31</v>
      </c>
      <c r="E635" s="9" t="str">
        <f t="shared" si="69"/>
        <v>241803</v>
      </c>
      <c r="F635" s="9" t="str">
        <f>"丁紫芯"</f>
        <v>丁紫芯</v>
      </c>
      <c r="G635" s="9" t="str">
        <f t="shared" si="68"/>
        <v>女</v>
      </c>
      <c r="H635" s="8"/>
    </row>
    <row r="636" spans="1:8" ht="34.5" customHeight="1">
      <c r="A636" s="8">
        <v>633</v>
      </c>
      <c r="B636" s="9" t="str">
        <f>"651720240604165545130302"</f>
        <v>651720240604165545130302</v>
      </c>
      <c r="C636" s="9" t="s">
        <v>54</v>
      </c>
      <c r="D636" s="9" t="s">
        <v>31</v>
      </c>
      <c r="E636" s="9" t="str">
        <f t="shared" si="69"/>
        <v>241803</v>
      </c>
      <c r="F636" s="9" t="str">
        <f>"邢文靓"</f>
        <v>邢文靓</v>
      </c>
      <c r="G636" s="9" t="str">
        <f t="shared" si="68"/>
        <v>女</v>
      </c>
      <c r="H636" s="8"/>
    </row>
    <row r="637" spans="1:8" ht="34.5" customHeight="1">
      <c r="A637" s="8">
        <v>634</v>
      </c>
      <c r="B637" s="9" t="str">
        <f>"65172024052516000676757"</f>
        <v>65172024052516000676757</v>
      </c>
      <c r="C637" s="9" t="s">
        <v>55</v>
      </c>
      <c r="D637" s="9" t="s">
        <v>35</v>
      </c>
      <c r="E637" s="9" t="str">
        <f aca="true" t="shared" si="70" ref="E637:E647">"241902"</f>
        <v>241902</v>
      </c>
      <c r="F637" s="9" t="str">
        <f>"陈娜"</f>
        <v>陈娜</v>
      </c>
      <c r="G637" s="9" t="str">
        <f t="shared" si="68"/>
        <v>女</v>
      </c>
      <c r="H637" s="8"/>
    </row>
    <row r="638" spans="1:8" ht="34.5" customHeight="1">
      <c r="A638" s="8">
        <v>635</v>
      </c>
      <c r="B638" s="9" t="str">
        <f>"65172024052712342480486"</f>
        <v>65172024052712342480486</v>
      </c>
      <c r="C638" s="9" t="s">
        <v>55</v>
      </c>
      <c r="D638" s="9" t="s">
        <v>35</v>
      </c>
      <c r="E638" s="9" t="str">
        <f t="shared" si="70"/>
        <v>241902</v>
      </c>
      <c r="F638" s="9" t="str">
        <f>"王淑女"</f>
        <v>王淑女</v>
      </c>
      <c r="G638" s="9" t="str">
        <f t="shared" si="68"/>
        <v>女</v>
      </c>
      <c r="H638" s="8"/>
    </row>
    <row r="639" spans="1:8" ht="34.5" customHeight="1">
      <c r="A639" s="8">
        <v>636</v>
      </c>
      <c r="B639" s="9" t="str">
        <f>"65172024052713435980772"</f>
        <v>65172024052713435980772</v>
      </c>
      <c r="C639" s="9" t="s">
        <v>55</v>
      </c>
      <c r="D639" s="9" t="s">
        <v>35</v>
      </c>
      <c r="E639" s="9" t="str">
        <f t="shared" si="70"/>
        <v>241902</v>
      </c>
      <c r="F639" s="9" t="str">
        <f>"高东慧"</f>
        <v>高东慧</v>
      </c>
      <c r="G639" s="9" t="str">
        <f t="shared" si="68"/>
        <v>女</v>
      </c>
      <c r="H639" s="8"/>
    </row>
    <row r="640" spans="1:8" ht="34.5" customHeight="1">
      <c r="A640" s="8">
        <v>637</v>
      </c>
      <c r="B640" s="9" t="str">
        <f>"65172024052509133576264"</f>
        <v>65172024052509133576264</v>
      </c>
      <c r="C640" s="9" t="s">
        <v>55</v>
      </c>
      <c r="D640" s="9" t="s">
        <v>35</v>
      </c>
      <c r="E640" s="9" t="str">
        <f t="shared" si="70"/>
        <v>241902</v>
      </c>
      <c r="F640" s="9" t="str">
        <f>"王玲"</f>
        <v>王玲</v>
      </c>
      <c r="G640" s="9" t="str">
        <f t="shared" si="68"/>
        <v>女</v>
      </c>
      <c r="H640" s="8"/>
    </row>
    <row r="641" spans="1:8" ht="34.5" customHeight="1">
      <c r="A641" s="8">
        <v>638</v>
      </c>
      <c r="B641" s="9" t="str">
        <f>"65172024052817153184193"</f>
        <v>65172024052817153184193</v>
      </c>
      <c r="C641" s="9" t="s">
        <v>55</v>
      </c>
      <c r="D641" s="9" t="s">
        <v>35</v>
      </c>
      <c r="E641" s="9" t="str">
        <f t="shared" si="70"/>
        <v>241902</v>
      </c>
      <c r="F641" s="9" t="str">
        <f>"陈圆"</f>
        <v>陈圆</v>
      </c>
      <c r="G641" s="9" t="str">
        <f t="shared" si="68"/>
        <v>女</v>
      </c>
      <c r="H641" s="8"/>
    </row>
    <row r="642" spans="1:8" ht="34.5" customHeight="1">
      <c r="A642" s="8">
        <v>639</v>
      </c>
      <c r="B642" s="9" t="str">
        <f>"65172024053016385197064"</f>
        <v>65172024053016385197064</v>
      </c>
      <c r="C642" s="9" t="s">
        <v>55</v>
      </c>
      <c r="D642" s="9" t="s">
        <v>35</v>
      </c>
      <c r="E642" s="9" t="str">
        <f t="shared" si="70"/>
        <v>241902</v>
      </c>
      <c r="F642" s="9" t="str">
        <f>"陈莹倩"</f>
        <v>陈莹倩</v>
      </c>
      <c r="G642" s="9" t="str">
        <f t="shared" si="68"/>
        <v>女</v>
      </c>
      <c r="H642" s="8"/>
    </row>
    <row r="643" spans="1:8" ht="34.5" customHeight="1">
      <c r="A643" s="8">
        <v>640</v>
      </c>
      <c r="B643" s="9" t="str">
        <f>"65172024052809595283083"</f>
        <v>65172024052809595283083</v>
      </c>
      <c r="C643" s="9" t="s">
        <v>55</v>
      </c>
      <c r="D643" s="9" t="s">
        <v>35</v>
      </c>
      <c r="E643" s="9" t="str">
        <f t="shared" si="70"/>
        <v>241902</v>
      </c>
      <c r="F643" s="9" t="str">
        <f>"何强"</f>
        <v>何强</v>
      </c>
      <c r="G643" s="9" t="str">
        <f>"男"</f>
        <v>男</v>
      </c>
      <c r="H643" s="8"/>
    </row>
    <row r="644" spans="1:8" ht="34.5" customHeight="1">
      <c r="A644" s="8">
        <v>641</v>
      </c>
      <c r="B644" s="9" t="str">
        <f>"651720240601182402111631"</f>
        <v>651720240601182402111631</v>
      </c>
      <c r="C644" s="9" t="s">
        <v>55</v>
      </c>
      <c r="D644" s="9" t="s">
        <v>35</v>
      </c>
      <c r="E644" s="9" t="str">
        <f t="shared" si="70"/>
        <v>241902</v>
      </c>
      <c r="F644" s="9" t="str">
        <f>"明思祺"</f>
        <v>明思祺</v>
      </c>
      <c r="G644" s="9" t="str">
        <f>"男"</f>
        <v>男</v>
      </c>
      <c r="H644" s="8"/>
    </row>
    <row r="645" spans="1:8" ht="34.5" customHeight="1">
      <c r="A645" s="8">
        <v>642</v>
      </c>
      <c r="B645" s="9" t="str">
        <f>"651720240603111656120194"</f>
        <v>651720240603111656120194</v>
      </c>
      <c r="C645" s="9" t="s">
        <v>55</v>
      </c>
      <c r="D645" s="9" t="s">
        <v>35</v>
      </c>
      <c r="E645" s="9" t="str">
        <f t="shared" si="70"/>
        <v>241902</v>
      </c>
      <c r="F645" s="9" t="str">
        <f>"王小李"</f>
        <v>王小李</v>
      </c>
      <c r="G645" s="9" t="str">
        <f>"男"</f>
        <v>男</v>
      </c>
      <c r="H645" s="8"/>
    </row>
    <row r="646" spans="1:8" ht="34.5" customHeight="1">
      <c r="A646" s="8">
        <v>643</v>
      </c>
      <c r="B646" s="9" t="str">
        <f>"651720240603131038121341"</f>
        <v>651720240603131038121341</v>
      </c>
      <c r="C646" s="9" t="s">
        <v>55</v>
      </c>
      <c r="D646" s="9" t="s">
        <v>35</v>
      </c>
      <c r="E646" s="9" t="str">
        <f t="shared" si="70"/>
        <v>241902</v>
      </c>
      <c r="F646" s="9" t="str">
        <f>"邹素琴"</f>
        <v>邹素琴</v>
      </c>
      <c r="G646" s="9" t="str">
        <f>"女"</f>
        <v>女</v>
      </c>
      <c r="H646" s="8"/>
    </row>
    <row r="647" spans="1:8" ht="34.5" customHeight="1">
      <c r="A647" s="8">
        <v>644</v>
      </c>
      <c r="B647" s="9" t="str">
        <f>"65172024052423003476139"</f>
        <v>65172024052423003476139</v>
      </c>
      <c r="C647" s="9" t="s">
        <v>55</v>
      </c>
      <c r="D647" s="9" t="s">
        <v>35</v>
      </c>
      <c r="E647" s="9" t="str">
        <f t="shared" si="70"/>
        <v>241902</v>
      </c>
      <c r="F647" s="9" t="str">
        <f>"苏小柳"</f>
        <v>苏小柳</v>
      </c>
      <c r="G647" s="9" t="str">
        <f>"女"</f>
        <v>女</v>
      </c>
      <c r="H647" s="8"/>
    </row>
    <row r="648" spans="1:8" ht="34.5" customHeight="1">
      <c r="A648" s="8">
        <v>645</v>
      </c>
      <c r="B648" s="9" t="str">
        <f>"65172024052521285277120"</f>
        <v>65172024052521285277120</v>
      </c>
      <c r="C648" s="9" t="s">
        <v>56</v>
      </c>
      <c r="D648" s="9" t="s">
        <v>32</v>
      </c>
      <c r="E648" s="9" t="str">
        <f>"242001"</f>
        <v>242001</v>
      </c>
      <c r="F648" s="9" t="str">
        <f>"李立作"</f>
        <v>李立作</v>
      </c>
      <c r="G648" s="9" t="str">
        <f>"女"</f>
        <v>女</v>
      </c>
      <c r="H648" s="8"/>
    </row>
    <row r="649" spans="1:8" ht="34.5" customHeight="1">
      <c r="A649" s="8">
        <v>646</v>
      </c>
      <c r="B649" s="9" t="str">
        <f>"65172024052812482983554"</f>
        <v>65172024052812482983554</v>
      </c>
      <c r="C649" s="9" t="s">
        <v>56</v>
      </c>
      <c r="D649" s="9" t="s">
        <v>32</v>
      </c>
      <c r="E649" s="9" t="str">
        <f>"242001"</f>
        <v>242001</v>
      </c>
      <c r="F649" s="9" t="str">
        <f>"周浩"</f>
        <v>周浩</v>
      </c>
      <c r="G649" s="9" t="str">
        <f>"男"</f>
        <v>男</v>
      </c>
      <c r="H649" s="8"/>
    </row>
    <row r="650" spans="1:8" ht="34.5" customHeight="1">
      <c r="A650" s="8">
        <v>647</v>
      </c>
      <c r="B650" s="9" t="str">
        <f>"65172024052521025677090"</f>
        <v>65172024052521025677090</v>
      </c>
      <c r="C650" s="9" t="s">
        <v>56</v>
      </c>
      <c r="D650" s="9" t="s">
        <v>32</v>
      </c>
      <c r="E650" s="9" t="str">
        <f>"242001"</f>
        <v>242001</v>
      </c>
      <c r="F650" s="9" t="str">
        <f>"陈荣超"</f>
        <v>陈荣超</v>
      </c>
      <c r="G650" s="9" t="str">
        <f>"男"</f>
        <v>男</v>
      </c>
      <c r="H650" s="8"/>
    </row>
    <row r="651" spans="1:8" ht="34.5" customHeight="1">
      <c r="A651" s="8">
        <v>648</v>
      </c>
      <c r="B651" s="9" t="str">
        <f>"65172024053018130397781"</f>
        <v>65172024053018130397781</v>
      </c>
      <c r="C651" s="9" t="s">
        <v>56</v>
      </c>
      <c r="D651" s="9" t="s">
        <v>32</v>
      </c>
      <c r="E651" s="9" t="str">
        <f>"242001"</f>
        <v>242001</v>
      </c>
      <c r="F651" s="9" t="str">
        <f>"刘方征"</f>
        <v>刘方征</v>
      </c>
      <c r="G651" s="9" t="str">
        <f>"女"</f>
        <v>女</v>
      </c>
      <c r="H651" s="8"/>
    </row>
    <row r="652" spans="1:8" ht="34.5" customHeight="1">
      <c r="A652" s="8">
        <v>649</v>
      </c>
      <c r="B652" s="9" t="str">
        <f>"651720240602232835117323"</f>
        <v>651720240602232835117323</v>
      </c>
      <c r="C652" s="9" t="s">
        <v>56</v>
      </c>
      <c r="D652" s="9" t="s">
        <v>32</v>
      </c>
      <c r="E652" s="9" t="str">
        <f>"242001"</f>
        <v>242001</v>
      </c>
      <c r="F652" s="9" t="str">
        <f>"陈乐"</f>
        <v>陈乐</v>
      </c>
      <c r="G652" s="9" t="str">
        <f>"女"</f>
        <v>女</v>
      </c>
      <c r="H652" s="8"/>
    </row>
  </sheetData>
  <sheetProtection/>
  <mergeCells count="2">
    <mergeCell ref="A1:H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2024-06-06T10:24:13Z</dcterms:created>
  <dcterms:modified xsi:type="dcterms:W3CDTF">2024-06-06T11:10:34Z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0A06D1FC891843DD9792FCB38B12275A_13</vt:lpwstr>
  </property>
  <property fmtid="{D5CDD505-2E9C-101B-9397-08002B2CF9AE}" pid="4" name="KSOProductBuildV">
    <vt:lpwstr>2052-12.1.0.16929</vt:lpwstr>
  </property>
</Properties>
</file>